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70" yWindow="0" windowWidth="9420" windowHeight="7770" firstSheet="3" activeTab="3"/>
  </bookViews>
  <sheets>
    <sheet name="AVK skan" sheetId="1" r:id="rId1"/>
    <sheet name="grafiks " sheetId="2" r:id="rId2"/>
    <sheet name="tame iesl iekl" sheetId="3" r:id="rId3"/>
    <sheet name="iepirkums" sheetId="4" r:id="rId4"/>
  </sheets>
  <definedNames/>
  <calcPr fullCalcOnLoad="1"/>
</workbook>
</file>

<file path=xl/sharedStrings.xml><?xml version="1.0" encoding="utf-8"?>
<sst xmlns="http://schemas.openxmlformats.org/spreadsheetml/2006/main" count="1786" uniqueCount="631">
  <si>
    <t>Nr.p.k.</t>
  </si>
  <si>
    <t>Darba   nosaukums</t>
  </si>
  <si>
    <t>1.1.</t>
  </si>
  <si>
    <t>m</t>
  </si>
  <si>
    <t>m2</t>
  </si>
  <si>
    <t>Notekcauruļu  un tekņu nojaukšana</t>
  </si>
  <si>
    <t>m3</t>
  </si>
  <si>
    <t>m²</t>
  </si>
  <si>
    <t>gab</t>
  </si>
  <si>
    <t>1.2.</t>
  </si>
  <si>
    <t>gab.</t>
  </si>
  <si>
    <t>1.3.</t>
  </si>
  <si>
    <t>Veco koka logu bloku nomaiņa pret PVC tipa logiem</t>
  </si>
  <si>
    <t>Durvju aplodu uzstādīšana</t>
  </si>
  <si>
    <t>1.4.</t>
  </si>
  <si>
    <t>Esošās sienas virsmas attīrīšana</t>
  </si>
  <si>
    <t>Lielo plaisu un citu virsmas defektu izlabošana ar javu, kas sagatavota no smilšu polimērcementa maisījuma</t>
  </si>
  <si>
    <t>līmjava</t>
  </si>
  <si>
    <t>kg</t>
  </si>
  <si>
    <t>armējuma  java</t>
  </si>
  <si>
    <t>stikla šķiedras  siets</t>
  </si>
  <si>
    <t>stūra  šina  ar  sietu</t>
  </si>
  <si>
    <t xml:space="preserve">Fasāžu  dekoratīvā  apmešana  </t>
  </si>
  <si>
    <t>dekoratīvais  apmetums</t>
  </si>
  <si>
    <t>grunts</t>
  </si>
  <si>
    <t>l</t>
  </si>
  <si>
    <t>Apmesto  fasāžu  gruntēšana, krāsošana</t>
  </si>
  <si>
    <t>Lāseņa  uzstādīšana  pa  cokola  perimetru</t>
  </si>
  <si>
    <t>lāsenis</t>
  </si>
  <si>
    <t>Durvju un logu ailu ārējā apdare</t>
  </si>
  <si>
    <t>akmens vate FAB 3  b = 30 mm biezumā</t>
  </si>
  <si>
    <t xml:space="preserve"> </t>
  </si>
  <si>
    <t>1.5.</t>
  </si>
  <si>
    <t>Cokola  daļas  ar mitrumu necaurlaidošu putupolistirolu siltināšana  pa  ēkas  perimetru</t>
  </si>
  <si>
    <t xml:space="preserve">  šķembas </t>
  </si>
  <si>
    <t>kokmateriāli</t>
  </si>
  <si>
    <t>1.6.</t>
  </si>
  <si>
    <t>Kopā :</t>
  </si>
  <si>
    <t>1.</t>
  </si>
  <si>
    <r>
      <t>m</t>
    </r>
    <r>
      <rPr>
        <vertAlign val="superscript"/>
        <sz val="10"/>
        <rFont val="Times New Roman"/>
        <family val="1"/>
      </rPr>
      <t>2</t>
    </r>
  </si>
  <si>
    <t>dībeļi fasādes siltināšanai ar metāla naglām</t>
  </si>
  <si>
    <t>1.7.</t>
  </si>
  <si>
    <t>1.9.</t>
  </si>
  <si>
    <t>1.10.</t>
  </si>
  <si>
    <t>1.11.</t>
  </si>
  <si>
    <t>1.12.</t>
  </si>
  <si>
    <t>2.</t>
  </si>
  <si>
    <t>2.1.</t>
  </si>
  <si>
    <t>2.2.</t>
  </si>
  <si>
    <t>Pamatu atrakšana ar roku darbu un ekskavatoru gar cokola sienām pa ēku perimetru un aizbēršana, blietējot ik pa 25 cm</t>
  </si>
  <si>
    <t>2.3.</t>
  </si>
  <si>
    <t>Liekas grunts iekraušana automašīnās un transports 10 km attālumā</t>
  </si>
  <si>
    <t>2.4.</t>
  </si>
  <si>
    <t xml:space="preserve">Pamatu vertikāla hidroizolācija </t>
  </si>
  <si>
    <t>2.6.</t>
  </si>
  <si>
    <t>2.7.</t>
  </si>
  <si>
    <t>2.8.</t>
  </si>
  <si>
    <t>2.9.</t>
  </si>
  <si>
    <t>2.10.</t>
  </si>
  <si>
    <t>3.1.</t>
  </si>
  <si>
    <t>3.2.</t>
  </si>
  <si>
    <t>3.3.</t>
  </si>
  <si>
    <t>3.4.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</si>
  <si>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</si>
  <si>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</si>
  <si>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</si>
  <si>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</si>
  <si>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</si>
  <si>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</si>
  <si>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</si>
  <si>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</si>
  <si>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</si>
  <si>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</si>
  <si>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</si>
  <si>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Logu ailu apdare - apmešana, slīpēšana, gruntēšana, krāsošana</t>
  </si>
  <si>
    <t>5.4.</t>
  </si>
  <si>
    <t>6.</t>
  </si>
  <si>
    <t>6.1.</t>
  </si>
  <si>
    <t>6.2.</t>
  </si>
  <si>
    <t>6.3.</t>
  </si>
  <si>
    <t>Durvju ailu apdare - apmešana, slīpēšana, gruntēšana, krāsošana</t>
  </si>
  <si>
    <t>8.</t>
  </si>
  <si>
    <t>obj.</t>
  </si>
  <si>
    <t>10.</t>
  </si>
  <si>
    <t>Skārda palodžu demontāža esošai ēkai</t>
  </si>
  <si>
    <t>1.8.</t>
  </si>
  <si>
    <t>1.13.</t>
  </si>
  <si>
    <t xml:space="preserve">cokola  profils 120 mm </t>
  </si>
  <si>
    <t>3.5.</t>
  </si>
  <si>
    <t xml:space="preserve"> Dažādi darbi</t>
  </si>
  <si>
    <t>Informatīvā stenda uzstādīšana</t>
  </si>
  <si>
    <t>Demontāžas  darbi</t>
  </si>
  <si>
    <t>Cokola apmetuma demontāža</t>
  </si>
  <si>
    <t xml:space="preserve"> 3.</t>
  </si>
  <si>
    <t>3.6.</t>
  </si>
  <si>
    <t>3.7.</t>
  </si>
  <si>
    <t>3.8.</t>
  </si>
  <si>
    <t>Jumta virsmas attīrīšana no netīrumiem un gružiem</t>
  </si>
  <si>
    <t>Tvaika izolācijas plēves ieklāšana</t>
  </si>
  <si>
    <t>Pamatnes gruntēšana ar bituma mastiku</t>
  </si>
  <si>
    <t>4.7.</t>
  </si>
  <si>
    <t>7.</t>
  </si>
  <si>
    <t>7.1.</t>
  </si>
  <si>
    <t>8.1.</t>
  </si>
  <si>
    <t>8.2.</t>
  </si>
  <si>
    <t>7.2.</t>
  </si>
  <si>
    <t>Durvju bloka nomaiņa pret metāla tipa durvīm</t>
  </si>
  <si>
    <t>Ēkas numurzīmes noņemšana</t>
  </si>
  <si>
    <t>Karoga turētāja noņemšana</t>
  </si>
  <si>
    <t>Jumta skārda  parapetu demontāža</t>
  </si>
  <si>
    <t>Demontēto elementu utilizācija</t>
  </si>
  <si>
    <t>2.11.</t>
  </si>
  <si>
    <t>tm</t>
  </si>
  <si>
    <t>2.12.</t>
  </si>
  <si>
    <t>4.8.</t>
  </si>
  <si>
    <t>Izejas lūku uz jumta nomaiņa  ( siltināta )</t>
  </si>
  <si>
    <t>4.9.</t>
  </si>
  <si>
    <t>siltinātu bēniņu lūku 600 x 800, ugunsdrošības pakapei EI 30</t>
  </si>
  <si>
    <t xml:space="preserve">Esošā nesošā pārseguma virsmas attīrīšana </t>
  </si>
  <si>
    <t>Pārseguma gruntēšana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</si>
  <si>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</si>
  <si>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t xml:space="preserve">Grunts </t>
  </si>
  <si>
    <t>Līme</t>
  </si>
  <si>
    <t>dībeļi</t>
  </si>
  <si>
    <t>Armējoša sieta uzklāšana</t>
  </si>
  <si>
    <t>līme</t>
  </si>
  <si>
    <t xml:space="preserve">armējošais siets </t>
  </si>
  <si>
    <t>Apmetums uz sieta</t>
  </si>
  <si>
    <t xml:space="preserve">Apmetums </t>
  </si>
  <si>
    <t xml:space="preserve">putupolistirolsors  b=100 mm </t>
  </si>
  <si>
    <t>Siltumizolācija  ar putupolistirolu  100 mm biezumā</t>
  </si>
  <si>
    <t>montāžas putas</t>
  </si>
  <si>
    <t>stūra līstītes</t>
  </si>
  <si>
    <t>9.4.</t>
  </si>
  <si>
    <t xml:space="preserve">Skārda   apšuvums pa  jumtiņu perimetru  </t>
  </si>
  <si>
    <t>Karogu turētāja ierīkošana</t>
  </si>
  <si>
    <t>Objekta, sakopšana, tīrīšna</t>
  </si>
  <si>
    <t>Esošo radiatoru  demontāža dzīvokļos</t>
  </si>
  <si>
    <t>kpl</t>
  </si>
  <si>
    <t>Komunikāciju demontāža no sienām (elektrības skapji, gaismekļi utt.)</t>
  </si>
  <si>
    <t xml:space="preserve">Materiālu pacelšana uz un no ēkas </t>
  </si>
  <si>
    <t>m.st.</t>
  </si>
  <si>
    <t xml:space="preserve">Fasādes  un gala  sienu siltināšana ar cieto akmens vati 120 mm ar dekoratīvo apmetumu,  siltumvadības koeficients λ ≤ 0.045W/(m·k) . Lodžiju izbīdījumu (lodžiju starpsienu) siltināšana ar 50 mm cieto akmens vati. Logu aiļu  un palodžu siltināšana ar 30/50 mm vati.  </t>
  </si>
  <si>
    <t xml:space="preserve"> Ārējo palodžu  montāžā </t>
  </si>
  <si>
    <t>bal.</t>
  </si>
  <si>
    <t>montāžas profesionālās  putas</t>
  </si>
  <si>
    <t>skrūves</t>
  </si>
  <si>
    <t>2.13.</t>
  </si>
  <si>
    <t>2.14.</t>
  </si>
  <si>
    <t>2.15.</t>
  </si>
  <si>
    <t>Cokola stāva (pamatu) siltināšana ar 100 mm ekstrudēto putupolistirolu 800mm dziļumā pa perimetru ar dekoratīvo apmetumu visam ēkas perimetram , kā arī apmales atjaunošana pa perimetru, putupolistirola  siltumvadības koef. λ =&lt; 0,05 W/(m2*K),</t>
  </si>
  <si>
    <t>3.9.</t>
  </si>
  <si>
    <t>palīgmateriāli</t>
  </si>
  <si>
    <t>4.10.</t>
  </si>
  <si>
    <t>Pagraba pārseguma siltināšana  ar putupolistirolu 100 mm (siltumvadības koeficients λ ≤  0,05 W/(m2*K)</t>
  </si>
  <si>
    <t>5.5.</t>
  </si>
  <si>
    <t>5.6.</t>
  </si>
  <si>
    <t>Stiprinājuma elemetni</t>
  </si>
  <si>
    <t>Blīvējuma materiāli</t>
  </si>
  <si>
    <t>Palodžu montāža, ēkas iekšpusē</t>
  </si>
  <si>
    <t>iekšējā MDF palodze</t>
  </si>
  <si>
    <t>8.3.</t>
  </si>
  <si>
    <t>Numerācijas zīmju montāža</t>
  </si>
  <si>
    <t>Komunikāciju montāža (elektrības skapji, antenas, gaismkeļi utt.)</t>
  </si>
  <si>
    <t>9.</t>
  </si>
  <si>
    <t>9.1.</t>
  </si>
  <si>
    <t>9.2.</t>
  </si>
  <si>
    <t>9.3.</t>
  </si>
  <si>
    <t>9.5.</t>
  </si>
  <si>
    <t>9.6.</t>
  </si>
  <si>
    <t xml:space="preserve"> krāsa fasādei</t>
  </si>
  <si>
    <t xml:space="preserve">dībeļi </t>
  </si>
  <si>
    <t>Lodžiju azbesta lokšņu apšuvumu demontāža  un  izvešana utilizācijai</t>
  </si>
  <si>
    <t>Balkonu stiklojumu  demontāža</t>
  </si>
  <si>
    <t>Balkonu un  pagraba logu  aizsargrežģu demontāža</t>
  </si>
  <si>
    <t>Ruļļmateriālu jumta seguma  nojaukšna   un  izvešana utilizācijai</t>
  </si>
  <si>
    <t>metāla siets 200x200</t>
  </si>
  <si>
    <t>stiprinājumi</t>
  </si>
  <si>
    <t>apmetuma sastāvs</t>
  </si>
  <si>
    <t>Sienu šuvju remonts</t>
  </si>
  <si>
    <t>t.m.</t>
  </si>
  <si>
    <t>1.14.</t>
  </si>
  <si>
    <t>1.15.</t>
  </si>
  <si>
    <t>1.16.</t>
  </si>
  <si>
    <t>1.17.</t>
  </si>
  <si>
    <t>gruntskrāsa</t>
  </si>
  <si>
    <t>krāsa</t>
  </si>
  <si>
    <t xml:space="preserve">ārējo palodzes logiem (rūpnieciski krāsots tērauda skārds. ) 200 mm </t>
  </si>
  <si>
    <t>hidroizolācijas slānis zem palodzes</t>
  </si>
  <si>
    <t>hidroizolācijas lenta</t>
  </si>
  <si>
    <t>cietā akmens vate  Paroc FAS 4  b = 120 mm vai analogs</t>
  </si>
  <si>
    <t>cietā akmens vate  Paroc FAS 4   b = 50 mm vai analogs</t>
  </si>
  <si>
    <t xml:space="preserve">Fasāžu  apšūšana  ar  akmens vati b=50 mm un b=120 mm, armēšana </t>
  </si>
  <si>
    <t>Skārda  lāseņa  uzstādīšana  3.st.   balkonu  griestiem</t>
  </si>
  <si>
    <t>Esošo balkonu norobež. m/k k-ciju attīrīšana, remonts un krāsošana (karkass)</t>
  </si>
  <si>
    <t>attīrīšanas līdzeklis</t>
  </si>
  <si>
    <t>GF-021 grunts</t>
  </si>
  <si>
    <t>antikorozijas krāsojums</t>
  </si>
  <si>
    <t xml:space="preserve">palīgmateriāli </t>
  </si>
  <si>
    <t>Latojuma  izbūve  balkonu  nožogojumiem</t>
  </si>
  <si>
    <t xml:space="preserve">Balkonu margu apšuvumu montāža </t>
  </si>
  <si>
    <t>siena skārda profils AP-20 0,5 mm (rūpnieciski krāsots skārds)</t>
  </si>
  <si>
    <t>Lodžiju nosegskārda palodžu  montāža</t>
  </si>
  <si>
    <t>rūpnieciski krāsots skārds</t>
  </si>
  <si>
    <t>Lodžiju griestu izlīdzināšana  ar  apmetumu</t>
  </si>
  <si>
    <t>Lodžiju  griestu  gruntēšana, krāsošana</t>
  </si>
  <si>
    <t>2.16.</t>
  </si>
  <si>
    <t>Hidroizolējoša pārklājuma izveidošana uz balkona grīdas</t>
  </si>
  <si>
    <t>2.17.</t>
  </si>
  <si>
    <t>Lietus ūdens noteku un tekņu montāža</t>
  </si>
  <si>
    <t xml:space="preserve"> teknes ar palīgelementiem</t>
  </si>
  <si>
    <t xml:space="preserve"> notekas ar palīgelementiem</t>
  </si>
  <si>
    <t>2.18.</t>
  </si>
  <si>
    <t>Sastatņu ar aizsargtīklu un jumtiņu  montāža un demontāža</t>
  </si>
  <si>
    <t>2.19.</t>
  </si>
  <si>
    <t>2.20.</t>
  </si>
  <si>
    <t xml:space="preserve">sastatņu īre </t>
  </si>
  <si>
    <t xml:space="preserve">Ēkas apmales izbūve no bruģa </t>
  </si>
  <si>
    <t xml:space="preserve">  smilts </t>
  </si>
  <si>
    <t>betona bruģis</t>
  </si>
  <si>
    <t>betona apmale BR 100.20.8</t>
  </si>
  <si>
    <t>cementa java</t>
  </si>
  <si>
    <t>Jumta pārseguma siltināšana  200 mm biezumā,  akmens vates  λ =&lt; 0,04 W/(m2*K), tvaika un hidroizolācijas slāņa uzklāšana</t>
  </si>
  <si>
    <t>Cementa javas izlīdzinošās kārtas 20 mm biezumā izbūve</t>
  </si>
  <si>
    <t xml:space="preserve">Cietās siltumizolācijas virskārtas plātnes ierīkošana </t>
  </si>
  <si>
    <t>akmens vate ROB 60 20 mm biezumā</t>
  </si>
  <si>
    <t>stiprinājumi ( peldošie dībeli - 5kg/m2, sk. AR-12, P-01)</t>
  </si>
  <si>
    <t>apakšklājs</t>
  </si>
  <si>
    <t>virsklājs</t>
  </si>
  <si>
    <t>Termoprofiļu Z-180 montāža</t>
  </si>
  <si>
    <t>termoprofils Z-180 b=2 mm, l=1,5 m</t>
  </si>
  <si>
    <t>metāla lenķīši</t>
  </si>
  <si>
    <t>Metāla U-profilu stiprināšana pie Z profiliem</t>
  </si>
  <si>
    <t>U profils b=2 mm. H-180 mm</t>
  </si>
  <si>
    <t xml:space="preserve">Dzegas  apšuvums ar mitrimizturīgām  finiera  plātnēm  20 mm biezumā </t>
  </si>
  <si>
    <t>mitrumizturīgais finieris  20 mm biezumā</t>
  </si>
  <si>
    <t>Stiprinājumi</t>
  </si>
  <si>
    <t>Dzegas hidroizolācija</t>
  </si>
  <si>
    <t>4.12.</t>
  </si>
  <si>
    <t xml:space="preserve">Jumta lāseņu montāža  </t>
  </si>
  <si>
    <t xml:space="preserve">lāsenis  (rūpnieciski krāsots  skārds) </t>
  </si>
  <si>
    <t>4.13.</t>
  </si>
  <si>
    <t>Parapetu montāža</t>
  </si>
  <si>
    <t xml:space="preserve">mitrumizturīgais finieris </t>
  </si>
  <si>
    <t xml:space="preserve">rūpnieciski krāsots  skārds </t>
  </si>
  <si>
    <t>montāžas materiāli</t>
  </si>
  <si>
    <t>4.14.</t>
  </si>
  <si>
    <t>Airatoru montāža</t>
  </si>
  <si>
    <t>4.15.</t>
  </si>
  <si>
    <t>4.16.</t>
  </si>
  <si>
    <t>Pielaiduma pie sienas montāža</t>
  </si>
  <si>
    <t xml:space="preserve">m </t>
  </si>
  <si>
    <t>4.17.</t>
  </si>
  <si>
    <t>4.18.</t>
  </si>
  <si>
    <t>Zibensaizsardzības  ierīkošana</t>
  </si>
  <si>
    <t xml:space="preserve">Jumta dzegas ierīkošana </t>
  </si>
  <si>
    <t>Ventilācijas izvadu aprīkošana ar skārda jumtiņiem</t>
  </si>
  <si>
    <t>4.19.</t>
  </si>
  <si>
    <t>4.20.</t>
  </si>
  <si>
    <t>4.21.</t>
  </si>
  <si>
    <t>Skārda jumtiņi</t>
  </si>
  <si>
    <t>Jumta vēdinšānas kanālu remonts  un apdare (apmetums uz metāla sieta, krāsots)</t>
  </si>
  <si>
    <t>Antenas izvadu montāža</t>
  </si>
  <si>
    <t>antenas izvads</t>
  </si>
  <si>
    <t>Gaismekļu demontāža - montāža uz pagrabstāva griestiem</t>
  </si>
  <si>
    <t>Apgaismojuma elektisko kabeļu demontāža un jaunu kabeļu montāža aizsargcaurulēs uz pagrabstāva griestiem</t>
  </si>
  <si>
    <t>Stiprinājumi u.c.</t>
  </si>
  <si>
    <t>5.7.</t>
  </si>
  <si>
    <t>5.8.</t>
  </si>
  <si>
    <t>PVC konstrukcijas logi</t>
  </si>
  <si>
    <t xml:space="preserve">Koka  durvju  bloku nomaiņa  </t>
  </si>
  <si>
    <t>durvju bloks  D-1: 1500 x 2100 (h)</t>
  </si>
  <si>
    <t>durvju bloks  D-2: 1000 x 2100 (h)</t>
  </si>
  <si>
    <t xml:space="preserve">Iekšējo koka  durvju  bloku  uzstādīšana </t>
  </si>
  <si>
    <t>koka durvju bloks    D-1 1500 x 21000 (h)</t>
  </si>
  <si>
    <t>Durvju aizvēršanās mehānismi kāpņu telpas durvīm</t>
  </si>
  <si>
    <t>8.4.</t>
  </si>
  <si>
    <t>8.5.</t>
  </si>
  <si>
    <t>Aizslēgšanas mehānisms kāpņu telpas durvīm</t>
  </si>
  <si>
    <t>8.6.</t>
  </si>
  <si>
    <t>Aizslēgšanas mehānisms pagraba telpas durvīm</t>
  </si>
  <si>
    <t>8.7.</t>
  </si>
  <si>
    <t>Ieejas kāpņu pakāpienu  un laukumu izlīdzināšana ar ārējo darbu remontjavu (precizēt autoruzraudzības kārtībā)</t>
  </si>
  <si>
    <t>Ieejas  mezglu  jumtiņu tīrīšana un  līdzināšana</t>
  </si>
  <si>
    <t xml:space="preserve">Ieejas  jumtiņu  apdare </t>
  </si>
  <si>
    <t>Ventilācijas kanālu tīrīšana</t>
  </si>
  <si>
    <t>Veco koka logu bloku nomaiņa pret PVC tipa logiem pagrabā</t>
  </si>
  <si>
    <t>Logu ailu apdare - apmešana, slīpēšana, gruntēšana, krāsošana pagrabā</t>
  </si>
  <si>
    <t>Būvlaukumu aprīkošana</t>
  </si>
  <si>
    <t>Ugunsdzēsības stenda uzstādīšana</t>
  </si>
  <si>
    <t>Konteineru atvēšana</t>
  </si>
  <si>
    <t>Tualetes īre un apkalpošana divas reizes mēnesī</t>
  </si>
  <si>
    <t>Celtniecības žogs, 3 mēneši</t>
  </si>
  <si>
    <t>Cokola sienu apmetums  pa sietu</t>
  </si>
  <si>
    <t>stiklašķiedras siets</t>
  </si>
  <si>
    <t>Cokola  sienu krāsošana</t>
  </si>
  <si>
    <t>pirmsapmetuma grunts</t>
  </si>
  <si>
    <t>dekoratīvais apmetums</t>
  </si>
  <si>
    <t>Cilvēku drošības barjera remonts un montāža</t>
  </si>
  <si>
    <t>9.7.</t>
  </si>
  <si>
    <t>9.8.</t>
  </si>
  <si>
    <t>9.9.</t>
  </si>
  <si>
    <t>9.10.</t>
  </si>
  <si>
    <t>9.11.</t>
  </si>
  <si>
    <t>9.12.</t>
  </si>
  <si>
    <t>9.13.</t>
  </si>
  <si>
    <t xml:space="preserve">Betona  apmales nojaukšana  pa  ēkas  perimetru </t>
  </si>
  <si>
    <t xml:space="preserve">Demontēt esošos koka rāmju logus </t>
  </si>
  <si>
    <t>Demontēt esošos koka durvju blokus</t>
  </si>
  <si>
    <t>Paroc FAL 1 (lamella) 120 mm</t>
  </si>
  <si>
    <t>cietā akmens vate</t>
  </si>
  <si>
    <t>impregnētas koka latas 38*100 mm</t>
  </si>
  <si>
    <t>Remmers Epoxy BS 3000 vai analogs</t>
  </si>
  <si>
    <t>Plaisu un citu virsmas defektu izlabošana ar javu, kas sagatavota no smilšu polimērcementa maisījuma</t>
  </si>
  <si>
    <t xml:space="preserve">Siltumizolācijas ierīkošana ar Paroc ROS 30g vai analogu </t>
  </si>
  <si>
    <t xml:space="preserve">jumta siltumizolācija ar ventilacijas rievām no akmens vates ROS 30g 180 mm </t>
  </si>
  <si>
    <t>Apmetuma ierīkošana uz metāla sieta ieejas mezglu griestiem, krāsošana</t>
  </si>
  <si>
    <t>Pagraba padzilinājumu  remonts</t>
  </si>
  <si>
    <t>Pagraba logu aizsargrežģu tīrīšana, cinkošana, krāsošana un uzstādīšana</t>
  </si>
  <si>
    <t xml:space="preserve">Uzlabojumi siltuma apgādes sistēmā – esošo siltuma sadales cauruļu, t sk. stāvvadu nomaiņa pret jaunām rūpnieciski izolētām caurulēm (izolācijas siltumvadības koeficients λ ≤  0.045 W/(m·k) ).  </t>
  </si>
  <si>
    <t>11.</t>
  </si>
  <si>
    <t>Siltummezgla rekonstrukcijas darbi</t>
  </si>
  <si>
    <t>12.</t>
  </si>
  <si>
    <t>12.1.</t>
  </si>
  <si>
    <t>12.2.</t>
  </si>
  <si>
    <t>12.3.</t>
  </si>
  <si>
    <t>12.4.</t>
  </si>
  <si>
    <t>Konteinera tipa vagoniņu īre- 3 mēn.</t>
  </si>
  <si>
    <t>12.5.</t>
  </si>
  <si>
    <t>12.6.</t>
  </si>
  <si>
    <t>12.7.</t>
  </si>
  <si>
    <t>Tāmes izmaksas, Ls</t>
  </si>
  <si>
    <t>Mērvienība</t>
  </si>
  <si>
    <t>Daudzums</t>
  </si>
  <si>
    <t xml:space="preserve">Vienības izmaksas </t>
  </si>
  <si>
    <t xml:space="preserve">Kopā uz visu apjomu  </t>
  </si>
  <si>
    <t>laika norma (c/st)</t>
  </si>
  <si>
    <t>darba samaksas likme (Ls/st)</t>
  </si>
  <si>
    <t>darba alga (Ls)</t>
  </si>
  <si>
    <t>materiāli (Ls)</t>
  </si>
  <si>
    <t>mahānismi  (Ls)</t>
  </si>
  <si>
    <t>darbietilpība  ( c/st)</t>
  </si>
  <si>
    <t>Materiāli  (Ls)</t>
  </si>
  <si>
    <t>mehānismi  (Ls)</t>
  </si>
  <si>
    <t>SUMMA  (Ls)</t>
  </si>
  <si>
    <t>Kopā  (Ls)</t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</si>
  <si>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</si>
  <si>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2</t>
    </r>
  </si>
  <si>
    <t>Kopā:</t>
  </si>
  <si>
    <t>Materiālu, grunts apmaiņas un būvgružu transporta izdevumi</t>
  </si>
  <si>
    <t>Tiešās izmaksas kopā :</t>
  </si>
  <si>
    <t>Pieskaitāmas izmaksas:</t>
  </si>
  <si>
    <t>Planotā peļņa:</t>
  </si>
  <si>
    <t>Soc.nodoklis no darba algas:</t>
  </si>
  <si>
    <t>Kopā pa sadaļām:</t>
  </si>
  <si>
    <r>
      <t xml:space="preserve">Fasādes sienu </t>
    </r>
    <r>
      <rPr>
        <sz val="10"/>
        <rFont val="Times New Roman"/>
        <family val="1"/>
      </rPr>
      <t xml:space="preserve"> remonts </t>
    </r>
  </si>
  <si>
    <r>
      <t>ekstrudētais  putupolistirols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Ecoprim 200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b=100 mm vai analogs </t>
    </r>
  </si>
  <si>
    <r>
      <t>Koka rāmju logu nomaiņa  dzīvokļos pret PVC dubulto stiklojumu  ar  stikla selektīvo pārklājumu U =&lt; 1,3 W/(m</t>
    </r>
    <r>
      <rPr>
        <u val="single"/>
        <vertAlign val="superscript"/>
        <sz val="10"/>
        <rFont val="Times New Roman"/>
        <family val="1"/>
      </rPr>
      <t>2</t>
    </r>
    <r>
      <rPr>
        <u val="single"/>
        <sz val="10"/>
        <rFont val="Times New Roman"/>
        <family val="1"/>
      </rPr>
      <t xml:space="preserve">*K) </t>
    </r>
  </si>
  <si>
    <r>
      <t>Koka rāmju logu nomaiņa  kāpņu telpās  pret PVC dubulto stiklojumu  ar  stikla selektīvo pārklājumu U =&lt; 1,3 W/(m</t>
    </r>
    <r>
      <rPr>
        <u val="single"/>
        <vertAlign val="superscript"/>
        <sz val="10"/>
        <rFont val="Times New Roman"/>
        <family val="1"/>
      </rPr>
      <t>2</t>
    </r>
    <r>
      <rPr>
        <u val="single"/>
        <sz val="10"/>
        <rFont val="Times New Roman"/>
        <family val="1"/>
      </rPr>
      <t xml:space="preserve">*K) </t>
    </r>
  </si>
  <si>
    <t>№</t>
  </si>
  <si>
    <t>Materiālu nosaukums</t>
  </si>
  <si>
    <t>Mēra vien.</t>
  </si>
  <si>
    <t>Vien. skaits</t>
  </si>
  <si>
    <t>Apkure</t>
  </si>
  <si>
    <t>Radiatora pieslēguma dubultbloks 1/2" x 16</t>
  </si>
  <si>
    <t>Temostatgalva M 30</t>
  </si>
  <si>
    <t>Radiatoru stiprinājumi</t>
  </si>
  <si>
    <t>kompl.</t>
  </si>
  <si>
    <t>Radiatora korķis 1/2"</t>
  </si>
  <si>
    <t>Radiatora atgaisotājs</t>
  </si>
  <si>
    <t>Automatiskais atgaisotājs 1/2" ar vent.</t>
  </si>
  <si>
    <t>Gruntēta metāla caurule DN25</t>
  </si>
  <si>
    <t>Gruntēta metāla caurule DN32</t>
  </si>
  <si>
    <t>Gruntēta metāla caurule DN40</t>
  </si>
  <si>
    <t>Gruntēta metāla caurule DN50</t>
  </si>
  <si>
    <t>Balansējošais vārsts Danfoss MSV-I DN15</t>
  </si>
  <si>
    <t>Balansējošais vārsts Danfoss MSV-I DN20</t>
  </si>
  <si>
    <t>Siltuma skaitītājs ZENNER ETHI-X  DN15 Qn= 1,5m3/st.</t>
  </si>
  <si>
    <t>Kaučuka tipa izolācija D 22/13mm</t>
  </si>
  <si>
    <t>Kaučuka tipa izolācija D 28/13mm</t>
  </si>
  <si>
    <t>Akmens vātes čaulas D 28/25mm</t>
  </si>
  <si>
    <t>Akmens vātes čaulas D 35/25mm</t>
  </si>
  <si>
    <t>Akmens vātes čaulas D 48/30mm</t>
  </si>
  <si>
    <t>Akmens vātes čaulas D 60/30mm</t>
  </si>
  <si>
    <t xml:space="preserve">Cauruļvadu stiprinājumi ar gumiju + palīgmateriāli </t>
  </si>
  <si>
    <t>Siltumizolācijas stiprināšanas palīgmateriāli (lenta, klipši …)</t>
  </si>
  <si>
    <t>Ventilācija</t>
  </si>
  <si>
    <t>Ventilators S&amp;P Decor 100 CHZ Visual</t>
  </si>
  <si>
    <t xml:space="preserve">Palīgmateriāli ventilācijas montāžām  </t>
  </si>
  <si>
    <t>Metāla skapis 500x500 (Dziļumu precizēt montāžas laika)</t>
  </si>
  <si>
    <t xml:space="preserve">Būves nosaukums: „Daudzdzīvokļu māju siltumnoturības uzlabošanas pasākumi Rīgas ielā 16, Baložos” </t>
  </si>
  <si>
    <t xml:space="preserve">Objekta nosaukums: „Daudzdzīvokļu māju siltumnoturības uzlabošanas pasākumi Rīgas ielā 16, Baložos” </t>
  </si>
  <si>
    <t>Objekta adrese :  Rīgas iela 16, Baloži</t>
  </si>
  <si>
    <t>Pasūtītājs : SIA "Baložu komunālā saimniecība"</t>
  </si>
  <si>
    <t>Jumta seguma izveidošana no ruļļu materiāla 2 kārtās, uzkausējot ar gāzes degli</t>
  </si>
  <si>
    <t>Ģenerāluzņēmējs: SIA "ABAMA HOLDING"</t>
  </si>
  <si>
    <t>Izpildīts iepriekšējos atskaites periodos</t>
  </si>
  <si>
    <t>Atlikums (Ls)</t>
  </si>
  <si>
    <t>darba alga 
(Ls)</t>
  </si>
  <si>
    <t>materiāli 
(Ls)</t>
  </si>
  <si>
    <t>mehānismi 
(Ls)</t>
  </si>
  <si>
    <t>Summa
(Ls)</t>
  </si>
  <si>
    <t>Darbus pieņēma:</t>
  </si>
  <si>
    <t>SIA "Abama Holding"</t>
  </si>
  <si>
    <t>___________________________M.Seļakovs</t>
  </si>
  <si>
    <t>Tāme Nr.1 Vispārējās pozicijas</t>
  </si>
  <si>
    <t>Garantijas un sastības</t>
  </si>
  <si>
    <t>Apdrošināšana</t>
  </si>
  <si>
    <t>Ģenerāluzņēmējs</t>
  </si>
  <si>
    <t>Pasūtītājs</t>
  </si>
  <si>
    <t xml:space="preserve">SIA "Baložu komunālā saimniecība"   </t>
  </si>
  <si>
    <t>Valdes locekle</t>
  </si>
  <si>
    <t>Olita Krastiņa</t>
  </si>
  <si>
    <t>Valdes prikšsedētāja</t>
  </si>
  <si>
    <t>___________________________S.Stychinskaya</t>
  </si>
  <si>
    <t>Līguma vienošanās no 31.07.2012.g.</t>
  </si>
  <si>
    <t>Jumts</t>
  </si>
  <si>
    <t>Ventilācijas kanālu pagarināšana</t>
  </si>
  <si>
    <t>t/m</t>
  </si>
  <si>
    <t>Apkures sistēmas stāvvadu pārcelšana no dzīvokļiem uz kāpņu telpām</t>
  </si>
  <si>
    <t>k-ts</t>
  </si>
  <si>
    <t>(3.4) Fasāžu apšūšana ar EPS 60 b=50 mm un b=100 mm, armēšana</t>
  </si>
  <si>
    <t>EPS 60 λ=0,039W/m*K b=100 mm</t>
  </si>
  <si>
    <t>EPS 60 λ=0,039W/m*K b=50 mm</t>
  </si>
  <si>
    <t>EPS 60 λ=0,039W/m*K  b = 30 mm biezumā</t>
  </si>
  <si>
    <t>EPS 60 λ=0,039W/m*K 120 mm</t>
  </si>
  <si>
    <t>EPS 60 λ=0,039W/m*K  b = 50 mm biezumā</t>
  </si>
  <si>
    <t xml:space="preserve">Jumta seguma siltināšana ar EPS 100 λ=0,037W/m*K 2 kārtās 100+80 </t>
  </si>
  <si>
    <t xml:space="preserve">Jumta siltumizolācijas EPS 100 λ=0,037W/m*K 2 kārtās 100+80 </t>
  </si>
  <si>
    <t>Papildarmēšana</t>
  </si>
  <si>
    <t>obj</t>
  </si>
  <si>
    <t>PAVISAM KOPĀ:</t>
  </si>
  <si>
    <t>невыполнено</t>
  </si>
  <si>
    <t>декабрь</t>
  </si>
  <si>
    <t>январь</t>
  </si>
  <si>
    <t>?</t>
  </si>
  <si>
    <t>2012.g. "_____ '' decembrī</t>
  </si>
  <si>
    <t>AVK</t>
  </si>
  <si>
    <t>ОСТАТОК работ на 1 марта 2013 года</t>
  </si>
  <si>
    <t>no tāme izslēgt</t>
  </si>
  <si>
    <t>включить другой состав работ</t>
  </si>
  <si>
    <t>доп работы</t>
  </si>
  <si>
    <t>нет проекта</t>
  </si>
  <si>
    <t>не делаем</t>
  </si>
  <si>
    <t>на 3 двери пропорционально</t>
  </si>
  <si>
    <t>после отопления</t>
  </si>
  <si>
    <t>для 4-ой двери погреба дополнительно 1 механизм</t>
  </si>
  <si>
    <t>определить куда, сколько и каких наличников надо</t>
  </si>
  <si>
    <t>не выполнено, но есть доп.работы</t>
  </si>
  <si>
    <t>процентовать</t>
  </si>
  <si>
    <t>делать новый или существующий почистить и покрасить</t>
  </si>
  <si>
    <t>поставить на м есто</t>
  </si>
  <si>
    <t>разобраться</t>
  </si>
  <si>
    <t>двери не устанавливались</t>
  </si>
  <si>
    <t>не выполнено, надо красить</t>
  </si>
  <si>
    <t>Parapeta mūrēšana</t>
  </si>
  <si>
    <t>gb</t>
  </si>
  <si>
    <t>Kāpņu telpu kosmētiskais remonts</t>
  </si>
  <si>
    <t>Emulsijas krāsojums pa sagatavotām virsmām griestos</t>
  </si>
  <si>
    <t>Kāpņu margu remonts</t>
  </si>
  <si>
    <t>Kajslauku nomaiņā</t>
  </si>
  <si>
    <t>špaktele</t>
  </si>
  <si>
    <t>krāsa tonētā</t>
  </si>
  <si>
    <t>atataukotājs</t>
  </si>
  <si>
    <t>smilšpapirs</t>
  </si>
  <si>
    <t>Fasāžu  apšūšana  ar  EPS 60 λ=0,039W/m*K b=100 mm ar papildus armēšanu. Lodžiju izbīdījumu   Lodžiju izbīdījumu (lodžiju starpsienu), logu aiļu un palodžu siltināšana ar EPS 60 λ=0,039W/m*K b=50 mm.</t>
  </si>
  <si>
    <t>Apmetuma remonts sienām</t>
  </si>
  <si>
    <t>Apmetuma remonts-pārrīvēšana griestos.</t>
  </si>
  <si>
    <t>Griestu sagatavošana krāsošanai.</t>
  </si>
  <si>
    <t>Sienu sagatavošana krāsošanai.</t>
  </si>
  <si>
    <t xml:space="preserve">Sienu krāsošana </t>
  </si>
  <si>
    <t>Marga rokturu nomaiņa</t>
  </si>
  <si>
    <t>Inženierkomunikācijas šahtu apšušana ar riģipsi ar skaņas izolāciju irklāšana</t>
  </si>
  <si>
    <t>t.m</t>
  </si>
  <si>
    <t>Būvgružu izvešana</t>
  </si>
  <si>
    <t>kont</t>
  </si>
  <si>
    <t>Ieēja durvju krāsošana ar sagatavošanu (2,1x1,5x2xk=1,2x4)</t>
  </si>
  <si>
    <t>LĪGUMA TĀME</t>
  </si>
  <si>
    <t>IZMAIŅAS</t>
  </si>
  <si>
    <t>2,8,1,</t>
  </si>
  <si>
    <t>2.19.1</t>
  </si>
  <si>
    <t>3.8.1</t>
  </si>
  <si>
    <t>3.9.1</t>
  </si>
  <si>
    <t>4.14.1</t>
  </si>
  <si>
    <t xml:space="preserve"> Jumta vēdinšānas kanālu remonts  un apdare (apšušana ar minerītu, ruberoida uzkausēšana)</t>
  </si>
  <si>
    <t>4.17.1</t>
  </si>
  <si>
    <t>8.4.1</t>
  </si>
  <si>
    <t>8.5..1</t>
  </si>
  <si>
    <t>8.6..1</t>
  </si>
  <si>
    <t>2.3.1</t>
  </si>
  <si>
    <t>Darbu nosaukums</t>
  </si>
  <si>
    <t>Nr.p/k</t>
  </si>
  <si>
    <t>Mērvien</t>
  </si>
  <si>
    <t>Dienas</t>
  </si>
  <si>
    <t>Nedēļas 1</t>
  </si>
  <si>
    <t>Nedēļas 2</t>
  </si>
  <si>
    <t>Nedēļas 3</t>
  </si>
  <si>
    <t>Nedēļas 4</t>
  </si>
  <si>
    <t>Nedēļas 5</t>
  </si>
  <si>
    <t>Nedēļas 6</t>
  </si>
  <si>
    <t>Nedēļas 7</t>
  </si>
  <si>
    <t>Nedēļas 8</t>
  </si>
  <si>
    <t>Nedēļas 9</t>
  </si>
  <si>
    <t>MAJS</t>
  </si>
  <si>
    <t>JŪNIJS</t>
  </si>
  <si>
    <t>DARBU VEIKŠANA KALENDĀRAIS GRAFĪKS</t>
  </si>
  <si>
    <t>Lodžiju griestu siltināšana</t>
  </si>
  <si>
    <t>Cokola  sienu dekorativais apmetums</t>
  </si>
  <si>
    <t xml:space="preserve">Cokola stāva (pamatu) siltināšana </t>
  </si>
  <si>
    <t xml:space="preserve">Koka rāmju logu nomaiņa  dzīvokļos </t>
  </si>
  <si>
    <t xml:space="preserve">Fasādes  </t>
  </si>
  <si>
    <t>8.1.1</t>
  </si>
  <si>
    <t>8.2.1</t>
  </si>
  <si>
    <t>Dzīvoklis 1</t>
  </si>
  <si>
    <t>I stāvads</t>
  </si>
  <si>
    <t>Dzīvoklis 3</t>
  </si>
  <si>
    <t>Dzīvoklis 5</t>
  </si>
  <si>
    <t>Dzīvoklis 2</t>
  </si>
  <si>
    <t>II stāvads</t>
  </si>
  <si>
    <t>Dzīvoklis 4</t>
  </si>
  <si>
    <t>Dzīvoklis 6</t>
  </si>
  <si>
    <t>Dzīvoklis 7</t>
  </si>
  <si>
    <t>III stāvads</t>
  </si>
  <si>
    <t>Dzīvoklis 9</t>
  </si>
  <si>
    <t>Dzīvoklis 11</t>
  </si>
  <si>
    <t>Dzīvoklis 8</t>
  </si>
  <si>
    <t>IV stāvads</t>
  </si>
  <si>
    <t>Dzīvoklis 10</t>
  </si>
  <si>
    <t>Dzīvoklis 12</t>
  </si>
  <si>
    <t>Dzīvoklis 13</t>
  </si>
  <si>
    <t>V stāvads</t>
  </si>
  <si>
    <t>Dzīvoklis 15</t>
  </si>
  <si>
    <t>Dzīvoklis 17</t>
  </si>
  <si>
    <t>Dzīvoklis 14</t>
  </si>
  <si>
    <t>VI stāvads</t>
  </si>
  <si>
    <t>Dzīvoklis 16</t>
  </si>
  <si>
    <t>Dzīvoklis 18</t>
  </si>
  <si>
    <t>Dzīvoklis 19</t>
  </si>
  <si>
    <t>VII stāvads</t>
  </si>
  <si>
    <t>Dzīvoklis 21</t>
  </si>
  <si>
    <t>Dzīvoklis 23</t>
  </si>
  <si>
    <t>Dzīvoklis 20</t>
  </si>
  <si>
    <t>VIII stāvads</t>
  </si>
  <si>
    <t>Dzīvoklis 22</t>
  </si>
  <si>
    <t>Dzīvoklis 24</t>
  </si>
  <si>
    <t>Apkures sistēmas regulēšana un nodošana ekspluatācijas</t>
  </si>
  <si>
    <t>Apkures sistēmas montāža</t>
  </si>
  <si>
    <t>Nedēļas 10</t>
  </si>
  <si>
    <t>Nedēļas 11</t>
  </si>
  <si>
    <t>Nedēļas 12</t>
  </si>
  <si>
    <t>JŪLIJS</t>
  </si>
  <si>
    <t>Maģistrālo cauruļvadu demontāža (pagrabā)</t>
  </si>
  <si>
    <t>Maģistrālo cauruļvadu montāža (pagrabā)</t>
  </si>
  <si>
    <t>Tāme  sastādīta  2012.gada  19. jūnijā</t>
  </si>
  <si>
    <t>Lodveida krāns ar saskrūvi  DN25</t>
  </si>
  <si>
    <t>Gružu ķērājs DN25</t>
  </si>
  <si>
    <t xml:space="preserve">Pretvārsts DN25 </t>
  </si>
  <si>
    <t>добавить в отопление</t>
  </si>
  <si>
    <t>Kaučuka tipa izolācija D 35/13mm</t>
  </si>
  <si>
    <t>Regulējama pieplūdes ierīce 22-30-45 m3/h, ar vārstu aizbīdni, balta (RAL9010) ar ārējo nokume ar resti, balta (RAL)</t>
  </si>
  <si>
    <t>Uponor daudzslāņu caurule 16x2,0</t>
  </si>
  <si>
    <t>Uponor daudzslāņu caurule 20x2,25</t>
  </si>
  <si>
    <t>Uponor daudzslāņu caurule 25x2,5</t>
  </si>
  <si>
    <t>Gruntēta metāla caurule DN20</t>
  </si>
  <si>
    <t xml:space="preserve">Metināšanas palīgmateriāli </t>
  </si>
  <si>
    <t>Esošās grīdas remonts un slīpēšana</t>
  </si>
  <si>
    <t>Radiators VK-Profil Tips 22-500/400mm  PURMO</t>
  </si>
  <si>
    <t>Uponor daudzslāņu caurule 32x30</t>
  </si>
  <si>
    <t>Uponor veidgabali</t>
  </si>
  <si>
    <t>Metala cauruļvadaveidgabali</t>
  </si>
  <si>
    <t>Kaučuka tipa izolācija D 18/13mm</t>
  </si>
  <si>
    <t>Radiators VK-Profil Tips 22-500/1000mm PURMO---------</t>
  </si>
  <si>
    <t>Radiators VK-Profil Tips 22-500/800mm -PURMO----------</t>
  </si>
  <si>
    <t>Radiators VK-Profil Tips 22-500/1200mm -PURMO--------</t>
  </si>
  <si>
    <t>Radiators VK-Profil Tips 22-500/1400mm PURMO---------</t>
  </si>
  <si>
    <t>Dzegas apšuvuma krāsošana 2 reizes</t>
  </si>
  <si>
    <t>Defektu noveršana</t>
  </si>
  <si>
    <t>Balkona grīdu slīpēšāna un remonts</t>
  </si>
  <si>
    <t>2.16.2.</t>
  </si>
  <si>
    <t>2.16.3.</t>
  </si>
  <si>
    <t>2.16.4</t>
  </si>
  <si>
    <t>2.16.1</t>
  </si>
  <si>
    <t>2.21.</t>
  </si>
  <si>
    <t>9.14.</t>
  </si>
  <si>
    <t>Ieējas durvju  sagatavošana un krāsošana (2,1x1,5x2xk=1,2x4)</t>
  </si>
  <si>
    <t>10.1.</t>
  </si>
  <si>
    <t>Esošo komunikāciju šahtu uzlaušana/atjaunošana kāpņu telpās</t>
  </si>
  <si>
    <t>9.15.</t>
  </si>
  <si>
    <t>Kāpnu telpu atjaunošana (kosmētiskais remonts) pēc apkures stāvvadu ierīkošanas</t>
  </si>
  <si>
    <t>Kāpņu margu rokturu nomaiņa</t>
  </si>
  <si>
    <t>3.4.1.</t>
  </si>
  <si>
    <t>Lokālā tāme Nr. 2</t>
  </si>
  <si>
    <t>1.17.1.</t>
  </si>
  <si>
    <t>Armējošā sieta uzklāšana</t>
  </si>
  <si>
    <t>2.17.1.</t>
  </si>
  <si>
    <t>2.19.2.</t>
  </si>
  <si>
    <t>2.19.3.</t>
  </si>
  <si>
    <t>4.0.</t>
  </si>
  <si>
    <t>4.5.1.</t>
  </si>
  <si>
    <t>4.9.1.</t>
  </si>
  <si>
    <t>4.14.2.</t>
  </si>
  <si>
    <t>8.0.</t>
  </si>
  <si>
    <t>8.5.1.</t>
  </si>
  <si>
    <t>8.6.1.</t>
  </si>
  <si>
    <t>9.16.</t>
  </si>
  <si>
    <t>9.17.</t>
  </si>
  <si>
    <t>2013.g. "_____ '' martā</t>
  </si>
  <si>
    <t>SIA "Baložu komunālā saimniecība"</t>
  </si>
  <si>
    <t>_______________________________O.Krastiņa</t>
  </si>
  <si>
    <t>2013.g. "_____" martā</t>
  </si>
  <si>
    <t>Saskaņoju</t>
  </si>
  <si>
    <t>Caurumu urbšana (cauriļu montāžai) sienās b=51 cm</t>
  </si>
  <si>
    <t>Maģistrālo cauruļvada stiprinājumu montāža</t>
  </si>
  <si>
    <t>U profils ZN 30*30*2</t>
  </si>
  <si>
    <t>Vītņstieņi M8*2000</t>
  </si>
  <si>
    <t>Mis tapa M8*30</t>
  </si>
  <si>
    <t>Uzgrieznis cin M8</t>
  </si>
  <si>
    <t>Paplāksne m 8</t>
  </si>
  <si>
    <t>Apkures sistēmas hidrauliskā pārbaude</t>
  </si>
  <si>
    <t>Ieejas durvju  sagatavošana un krāsošana (2,1x1,5x2xk=1,2x4)</t>
  </si>
  <si>
    <t>smilšpapīrs</t>
  </si>
  <si>
    <t>attaukotājs</t>
  </si>
  <si>
    <t xml:space="preserve">Apkures sistēma </t>
  </si>
  <si>
    <t>Plaisu remonts griestiem</t>
  </si>
  <si>
    <t>Virsmas sagatavošana krāsošanai.</t>
  </si>
  <si>
    <t>Virsmu sagatavošana krāsošanai.</t>
  </si>
  <si>
    <t xml:space="preserve">Sienu virsmu krāsošana </t>
  </si>
  <si>
    <t>Kāpņu telpu remonts</t>
  </si>
  <si>
    <t>Plaisu remonts sienām</t>
  </si>
  <si>
    <t>Radiators VK-Profil Tips 22-500/1400mm PURMO</t>
  </si>
  <si>
    <t>Pasūtītājs: SIA "Baložu komunālā saimniecība"</t>
  </si>
</sst>
</file>

<file path=xl/styles.xml><?xml version="1.0" encoding="utf-8"?>
<styleSheet xmlns="http://schemas.openxmlformats.org/spreadsheetml/2006/main">
  <numFmts count="3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_-;\-* #,##0.00\ _-;_-* &quot;-&quot;??\ _-;_-@_-"/>
    <numFmt numFmtId="187" formatCode="#,##0.00_L_s"/>
    <numFmt numFmtId="188" formatCode="_-[$Ls-426]\ * #,##0.00_-;\-[$Ls-426]\ * #,##0.00_-;_-[$Ls-426]\ * &quot;-&quot;??_-;_-@_-"/>
    <numFmt numFmtId="189" formatCode="#,##0.00_ ;\-#,##0.00\ "/>
    <numFmt numFmtId="190" formatCode="#,##0.00\ _L_s"/>
    <numFmt numFmtId="191" formatCode="[$-FC19]d\ mmmm\ yyyy\ &quot;г.&quot;"/>
  </numFmts>
  <fonts count="5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name val="Helv"/>
      <family val="0"/>
    </font>
    <font>
      <u val="single"/>
      <sz val="10"/>
      <color indexed="20"/>
      <name val="Arial Cyr"/>
      <family val="0"/>
    </font>
    <font>
      <u val="single"/>
      <sz val="10"/>
      <color indexed="12"/>
      <name val="Arial"/>
      <family val="2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76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left"/>
    </xf>
    <xf numFmtId="0" fontId="3" fillId="32" borderId="10" xfId="0" applyFont="1" applyFill="1" applyBorder="1" applyAlignment="1">
      <alignment horizontal="center"/>
    </xf>
    <xf numFmtId="1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4" fillId="32" borderId="0" xfId="0" applyFont="1" applyFill="1" applyAlignment="1">
      <alignment horizontal="center"/>
    </xf>
    <xf numFmtId="2" fontId="11" fillId="32" borderId="0" xfId="0" applyNumberFormat="1" applyFont="1" applyFill="1" applyAlignment="1">
      <alignment/>
    </xf>
    <xf numFmtId="2" fontId="12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wrapText="1"/>
    </xf>
    <xf numFmtId="0" fontId="13" fillId="32" borderId="11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2" fontId="3" fillId="32" borderId="10" xfId="0" applyNumberFormat="1" applyFont="1" applyFill="1" applyBorder="1" applyAlignment="1">
      <alignment/>
    </xf>
    <xf numFmtId="0" fontId="6" fillId="32" borderId="10" xfId="46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2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left" wrapText="1"/>
    </xf>
    <xf numFmtId="180" fontId="3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justify" vertical="center" wrapText="1"/>
    </xf>
    <xf numFmtId="0" fontId="13" fillId="32" borderId="10" xfId="0" applyFont="1" applyFill="1" applyBorder="1" applyAlignment="1">
      <alignment wrapText="1"/>
    </xf>
    <xf numFmtId="2" fontId="3" fillId="32" borderId="0" xfId="0" applyNumberFormat="1" applyFont="1" applyFill="1" applyAlignment="1">
      <alignment/>
    </xf>
    <xf numFmtId="0" fontId="4" fillId="32" borderId="0" xfId="0" applyFont="1" applyFill="1" applyAlignment="1">
      <alignment wrapText="1"/>
    </xf>
    <xf numFmtId="0" fontId="3" fillId="32" borderId="13" xfId="0" applyFont="1" applyFill="1" applyBorder="1" applyAlignment="1">
      <alignment/>
    </xf>
    <xf numFmtId="2" fontId="3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2" fontId="3" fillId="32" borderId="0" xfId="0" applyNumberFormat="1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justify" vertical="center" wrapText="1"/>
    </xf>
    <xf numFmtId="0" fontId="6" fillId="32" borderId="10" xfId="46" applyFont="1" applyFill="1" applyBorder="1" applyAlignment="1">
      <alignment horizontal="center" vertical="center" wrapText="1"/>
      <protection/>
    </xf>
    <xf numFmtId="2" fontId="6" fillId="32" borderId="10" xfId="46" applyNumberFormat="1" applyFont="1" applyFill="1" applyBorder="1" applyAlignment="1">
      <alignment horizontal="center" vertical="center" wrapText="1"/>
      <protection/>
    </xf>
    <xf numFmtId="0" fontId="3" fillId="32" borderId="14" xfId="0" applyFont="1" applyFill="1" applyBorder="1" applyAlignment="1">
      <alignment/>
    </xf>
    <xf numFmtId="2" fontId="3" fillId="32" borderId="0" xfId="0" applyNumberFormat="1" applyFont="1" applyFill="1" applyBorder="1" applyAlignment="1">
      <alignment horizontal="center"/>
    </xf>
    <xf numFmtId="2" fontId="3" fillId="32" borderId="13" xfId="0" applyNumberFormat="1" applyFont="1" applyFill="1" applyBorder="1" applyAlignment="1">
      <alignment horizontal="center"/>
    </xf>
    <xf numFmtId="2" fontId="3" fillId="32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2" fontId="4" fillId="32" borderId="10" xfId="0" applyNumberFormat="1" applyFont="1" applyFill="1" applyBorder="1" applyAlignment="1">
      <alignment horizontal="center"/>
    </xf>
    <xf numFmtId="4" fontId="16" fillId="32" borderId="0" xfId="0" applyNumberFormat="1" applyFont="1" applyFill="1" applyBorder="1" applyAlignment="1">
      <alignment vertical="center"/>
    </xf>
    <xf numFmtId="4" fontId="4" fillId="32" borderId="0" xfId="0" applyNumberFormat="1" applyFont="1" applyFill="1" applyBorder="1" applyAlignment="1">
      <alignment vertical="center"/>
    </xf>
    <xf numFmtId="4" fontId="13" fillId="32" borderId="0" xfId="0" applyNumberFormat="1" applyFont="1" applyFill="1" applyBorder="1" applyAlignment="1">
      <alignment vertical="center"/>
    </xf>
    <xf numFmtId="4" fontId="4" fillId="32" borderId="0" xfId="64" applyNumberFormat="1" applyFont="1" applyFill="1" applyBorder="1" applyAlignment="1">
      <alignment vertical="center"/>
      <protection/>
    </xf>
    <xf numFmtId="4" fontId="4" fillId="32" borderId="0" xfId="64" applyNumberFormat="1" applyFont="1" applyFill="1" applyAlignment="1">
      <alignment vertical="center"/>
      <protection/>
    </xf>
    <xf numFmtId="4" fontId="4" fillId="32" borderId="0" xfId="0" applyNumberFormat="1" applyFont="1" applyFill="1" applyAlignment="1">
      <alignment vertical="center"/>
    </xf>
    <xf numFmtId="4" fontId="4" fillId="32" borderId="0" xfId="64" applyNumberFormat="1" applyFont="1" applyFill="1" applyAlignment="1">
      <alignment horizontal="center" vertical="center"/>
      <protection/>
    </xf>
    <xf numFmtId="0" fontId="3" fillId="32" borderId="0" xfId="60" applyFont="1" applyFill="1" applyBorder="1" applyAlignment="1">
      <alignment horizontal="right"/>
      <protection/>
    </xf>
    <xf numFmtId="0" fontId="3" fillId="32" borderId="12" xfId="0" applyFont="1" applyFill="1" applyBorder="1" applyAlignment="1">
      <alignment horizontal="center"/>
    </xf>
    <xf numFmtId="0" fontId="3" fillId="32" borderId="10" xfId="0" applyNumberFormat="1" applyFont="1" applyFill="1" applyBorder="1" applyAlignment="1">
      <alignment horizontal="center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vertical="center"/>
    </xf>
    <xf numFmtId="0" fontId="6" fillId="32" borderId="10" xfId="46" applyNumberFormat="1" applyFont="1" applyFill="1" applyBorder="1" applyAlignment="1">
      <alignment horizontal="center" vertical="center" wrapText="1"/>
      <protection/>
    </xf>
    <xf numFmtId="0" fontId="3" fillId="32" borderId="13" xfId="0" applyNumberFormat="1" applyFont="1" applyFill="1" applyBorder="1" applyAlignment="1">
      <alignment horizontal="center"/>
    </xf>
    <xf numFmtId="0" fontId="3" fillId="10" borderId="10" xfId="0" applyFont="1" applyFill="1" applyBorder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/>
    </xf>
    <xf numFmtId="49" fontId="3" fillId="32" borderId="11" xfId="0" applyNumberFormat="1" applyFont="1" applyFill="1" applyBorder="1" applyAlignment="1">
      <alignment horizontal="center" vertical="center"/>
    </xf>
    <xf numFmtId="2" fontId="3" fillId="32" borderId="13" xfId="0" applyNumberFormat="1" applyFont="1" applyFill="1" applyBorder="1" applyAlignment="1">
      <alignment horizontal="center" vertical="center" wrapText="1"/>
    </xf>
    <xf numFmtId="180" fontId="3" fillId="32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10" borderId="0" xfId="0" applyFont="1" applyFill="1" applyAlignment="1">
      <alignment wrapText="1"/>
    </xf>
    <xf numFmtId="0" fontId="3" fillId="10" borderId="0" xfId="0" applyFont="1" applyFill="1" applyAlignment="1">
      <alignment/>
    </xf>
    <xf numFmtId="2" fontId="3" fillId="32" borderId="13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/>
    </xf>
    <xf numFmtId="0" fontId="3" fillId="32" borderId="13" xfId="0" applyNumberFormat="1" applyFont="1" applyFill="1" applyBorder="1" applyAlignment="1">
      <alignment horizontal="center" vertical="center" wrapText="1"/>
    </xf>
    <xf numFmtId="2" fontId="12" fillId="32" borderId="13" xfId="0" applyNumberFormat="1" applyFont="1" applyFill="1" applyBorder="1" applyAlignment="1">
      <alignment/>
    </xf>
    <xf numFmtId="0" fontId="16" fillId="32" borderId="10" xfId="54" applyFont="1" applyFill="1" applyBorder="1" applyAlignment="1" applyProtection="1">
      <alignment vertical="center" wrapText="1"/>
      <protection/>
    </xf>
    <xf numFmtId="0" fontId="3" fillId="32" borderId="10" xfId="54" applyFont="1" applyFill="1" applyBorder="1" applyAlignment="1" applyProtection="1">
      <alignment vertical="center" wrapText="1"/>
      <protection/>
    </xf>
    <xf numFmtId="0" fontId="3" fillId="32" borderId="15" xfId="0" applyNumberFormat="1" applyFont="1" applyFill="1" applyBorder="1" applyAlignment="1">
      <alignment horizontal="center"/>
    </xf>
    <xf numFmtId="0" fontId="3" fillId="32" borderId="14" xfId="0" applyFont="1" applyFill="1" applyBorder="1" applyAlignment="1">
      <alignment horizontal="left"/>
    </xf>
    <xf numFmtId="0" fontId="3" fillId="32" borderId="14" xfId="0" applyFont="1" applyFill="1" applyBorder="1" applyAlignment="1">
      <alignment horizontal="center"/>
    </xf>
    <xf numFmtId="2" fontId="3" fillId="32" borderId="15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textRotation="90"/>
    </xf>
    <xf numFmtId="0" fontId="4" fillId="32" borderId="17" xfId="0" applyFont="1" applyFill="1" applyBorder="1" applyAlignment="1">
      <alignment horizontal="center" textRotation="90"/>
    </xf>
    <xf numFmtId="0" fontId="4" fillId="32" borderId="12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 horizontal="left" vertical="justify" wrapText="1"/>
    </xf>
    <xf numFmtId="0" fontId="13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/>
    </xf>
    <xf numFmtId="4" fontId="4" fillId="32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3" fillId="36" borderId="14" xfId="0" applyFont="1" applyFill="1" applyBorder="1" applyAlignment="1">
      <alignment horizontal="center" textRotation="90"/>
    </xf>
    <xf numFmtId="0" fontId="4" fillId="32" borderId="11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4" fontId="15" fillId="32" borderId="10" xfId="0" applyNumberFormat="1" applyFont="1" applyFill="1" applyBorder="1" applyAlignment="1">
      <alignment vertical="center"/>
    </xf>
    <xf numFmtId="0" fontId="15" fillId="38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15" fillId="38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5" fillId="39" borderId="10" xfId="0" applyFont="1" applyFill="1" applyBorder="1" applyAlignment="1">
      <alignment/>
    </xf>
    <xf numFmtId="0" fontId="15" fillId="10" borderId="10" xfId="0" applyFont="1" applyFill="1" applyBorder="1" applyAlignment="1">
      <alignment/>
    </xf>
    <xf numFmtId="0" fontId="15" fillId="40" borderId="10" xfId="0" applyFont="1" applyFill="1" applyBorder="1" applyAlignment="1">
      <alignment/>
    </xf>
    <xf numFmtId="0" fontId="3" fillId="40" borderId="14" xfId="0" applyFont="1" applyFill="1" applyBorder="1" applyAlignment="1">
      <alignment horizontal="center" textRotation="90"/>
    </xf>
    <xf numFmtId="0" fontId="3" fillId="41" borderId="14" xfId="0" applyFont="1" applyFill="1" applyBorder="1" applyAlignment="1">
      <alignment horizontal="center" textRotation="90"/>
    </xf>
    <xf numFmtId="0" fontId="3" fillId="42" borderId="14" xfId="0" applyFont="1" applyFill="1" applyBorder="1" applyAlignment="1">
      <alignment horizontal="center" textRotation="90"/>
    </xf>
    <xf numFmtId="0" fontId="3" fillId="43" borderId="14" xfId="0" applyFont="1" applyFill="1" applyBorder="1" applyAlignment="1">
      <alignment horizontal="center" textRotation="90"/>
    </xf>
    <xf numFmtId="2" fontId="4" fillId="32" borderId="10" xfId="0" applyNumberFormat="1" applyFont="1" applyFill="1" applyBorder="1" applyAlignment="1">
      <alignment horizontal="left"/>
    </xf>
    <xf numFmtId="0" fontId="3" fillId="32" borderId="0" xfId="0" applyNumberFormat="1" applyFont="1" applyFill="1" applyBorder="1" applyAlignment="1">
      <alignment horizontal="center"/>
    </xf>
    <xf numFmtId="0" fontId="4" fillId="32" borderId="10" xfId="0" applyNumberFormat="1" applyFont="1" applyFill="1" applyBorder="1" applyAlignment="1">
      <alignment horizontal="left" wrapText="1"/>
    </xf>
    <xf numFmtId="2" fontId="4" fillId="32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3" fillId="32" borderId="0" xfId="0" applyFont="1" applyFill="1" applyBorder="1" applyAlignment="1">
      <alignment horizontal="center" textRotation="90"/>
    </xf>
    <xf numFmtId="2" fontId="17" fillId="32" borderId="10" xfId="0" applyNumberFormat="1" applyFont="1" applyFill="1" applyBorder="1" applyAlignment="1" applyProtection="1">
      <alignment horizontal="left"/>
      <protection/>
    </xf>
    <xf numFmtId="2" fontId="17" fillId="32" borderId="10" xfId="0" applyNumberFormat="1" applyFont="1" applyFill="1" applyBorder="1" applyAlignment="1" applyProtection="1">
      <alignment horizontal="center" vertical="center"/>
      <protection/>
    </xf>
    <xf numFmtId="1" fontId="17" fillId="32" borderId="10" xfId="42" applyNumberFormat="1" applyFont="1" applyFill="1" applyBorder="1" applyAlignment="1" applyProtection="1">
      <alignment horizontal="center" vertical="center"/>
      <protection/>
    </xf>
    <xf numFmtId="1" fontId="17" fillId="32" borderId="10" xfId="0" applyNumberFormat="1" applyFont="1" applyFill="1" applyBorder="1" applyAlignment="1">
      <alignment horizontal="center"/>
    </xf>
    <xf numFmtId="2" fontId="17" fillId="32" borderId="10" xfId="0" applyNumberFormat="1" applyFont="1" applyFill="1" applyBorder="1" applyAlignment="1">
      <alignment horizontal="center" vertical="center"/>
    </xf>
    <xf numFmtId="2" fontId="17" fillId="32" borderId="10" xfId="0" applyNumberFormat="1" applyFont="1" applyFill="1" applyBorder="1" applyAlignment="1">
      <alignment/>
    </xf>
    <xf numFmtId="2" fontId="17" fillId="32" borderId="10" xfId="0" applyNumberFormat="1" applyFont="1" applyFill="1" applyBorder="1" applyAlignment="1">
      <alignment horizontal="center" vertical="distributed"/>
    </xf>
    <xf numFmtId="0" fontId="17" fillId="32" borderId="0" xfId="0" applyFont="1" applyFill="1" applyAlignment="1">
      <alignment wrapText="1"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18" fillId="32" borderId="0" xfId="0" applyFont="1" applyFill="1" applyAlignment="1">
      <alignment horizontal="center"/>
    </xf>
    <xf numFmtId="2" fontId="19" fillId="32" borderId="0" xfId="0" applyNumberFormat="1" applyFont="1" applyFill="1" applyAlignment="1">
      <alignment/>
    </xf>
    <xf numFmtId="2" fontId="20" fillId="32" borderId="0" xfId="0" applyNumberFormat="1" applyFont="1" applyFill="1" applyAlignment="1">
      <alignment/>
    </xf>
    <xf numFmtId="0" fontId="20" fillId="32" borderId="0" xfId="0" applyFont="1" applyFill="1" applyAlignment="1">
      <alignment/>
    </xf>
    <xf numFmtId="0" fontId="17" fillId="32" borderId="0" xfId="0" applyFont="1" applyFill="1" applyAlignment="1">
      <alignment horizontal="left"/>
    </xf>
    <xf numFmtId="0" fontId="17" fillId="32" borderId="0" xfId="0" applyFont="1" applyFill="1" applyBorder="1" applyAlignment="1">
      <alignment/>
    </xf>
    <xf numFmtId="2" fontId="18" fillId="32" borderId="0" xfId="0" applyNumberFormat="1" applyFont="1" applyFill="1" applyBorder="1" applyAlignment="1">
      <alignment horizontal="center"/>
    </xf>
    <xf numFmtId="2" fontId="18" fillId="32" borderId="0" xfId="0" applyNumberFormat="1" applyFont="1" applyFill="1" applyAlignment="1">
      <alignment/>
    </xf>
    <xf numFmtId="2" fontId="21" fillId="32" borderId="0" xfId="0" applyNumberFormat="1" applyFont="1" applyFill="1" applyAlignment="1">
      <alignment/>
    </xf>
    <xf numFmtId="2" fontId="17" fillId="32" borderId="0" xfId="0" applyNumberFormat="1" applyFont="1" applyFill="1" applyAlignment="1">
      <alignment/>
    </xf>
    <xf numFmtId="2" fontId="17" fillId="32" borderId="0" xfId="0" applyNumberFormat="1" applyFont="1" applyFill="1" applyAlignment="1">
      <alignment horizontal="center"/>
    </xf>
    <xf numFmtId="2" fontId="17" fillId="32" borderId="18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2" fontId="17" fillId="32" borderId="19" xfId="0" applyNumberFormat="1" applyFont="1" applyFill="1" applyBorder="1" applyAlignment="1">
      <alignment horizontal="center" vertical="center" wrapText="1"/>
    </xf>
    <xf numFmtId="2" fontId="18" fillId="32" borderId="11" xfId="0" applyNumberFormat="1" applyFont="1" applyFill="1" applyBorder="1" applyAlignment="1">
      <alignment horizontal="center" vertical="center" wrapText="1"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20" xfId="0" applyNumberFormat="1" applyFont="1" applyFill="1" applyBorder="1" applyAlignment="1">
      <alignment horizontal="center" vertical="center" wrapText="1"/>
    </xf>
    <xf numFmtId="0" fontId="17" fillId="32" borderId="21" xfId="0" applyFont="1" applyFill="1" applyBorder="1" applyAlignment="1">
      <alignment horizontal="center" vertical="center" textRotation="90" wrapText="1"/>
    </xf>
    <xf numFmtId="0" fontId="17" fillId="32" borderId="11" xfId="0" applyFont="1" applyFill="1" applyBorder="1" applyAlignment="1">
      <alignment horizontal="center" vertical="center" textRotation="90" wrapText="1"/>
    </xf>
    <xf numFmtId="2" fontId="17" fillId="32" borderId="22" xfId="0" applyNumberFormat="1" applyFont="1" applyFill="1" applyBorder="1" applyAlignment="1">
      <alignment horizontal="center" vertical="center" wrapText="1"/>
    </xf>
    <xf numFmtId="0" fontId="17" fillId="32" borderId="23" xfId="0" applyFont="1" applyFill="1" applyBorder="1" applyAlignment="1">
      <alignment horizontal="center" vertical="center" textRotation="90" wrapText="1"/>
    </xf>
    <xf numFmtId="0" fontId="17" fillId="32" borderId="10" xfId="0" applyFont="1" applyFill="1" applyBorder="1" applyAlignment="1">
      <alignment horizontal="center" vertical="center" textRotation="90" wrapText="1"/>
    </xf>
    <xf numFmtId="2" fontId="18" fillId="32" borderId="10" xfId="0" applyNumberFormat="1" applyFont="1" applyFill="1" applyBorder="1" applyAlignment="1" applyProtection="1">
      <alignment/>
      <protection/>
    </xf>
    <xf numFmtId="2" fontId="18" fillId="32" borderId="22" xfId="0" applyNumberFormat="1" applyFont="1" applyFill="1" applyBorder="1" applyAlignment="1" applyProtection="1">
      <alignment/>
      <protection/>
    </xf>
    <xf numFmtId="2" fontId="17" fillId="32" borderId="23" xfId="0" applyNumberFormat="1" applyFont="1" applyFill="1" applyBorder="1" applyAlignment="1">
      <alignment/>
    </xf>
    <xf numFmtId="2" fontId="17" fillId="32" borderId="10" xfId="0" applyNumberFormat="1" applyFont="1" applyFill="1" applyBorder="1" applyAlignment="1">
      <alignment/>
    </xf>
    <xf numFmtId="2" fontId="17" fillId="32" borderId="10" xfId="42" applyNumberFormat="1" applyFont="1" applyFill="1" applyBorder="1" applyAlignment="1" applyProtection="1">
      <alignment horizontal="center" vertical="center"/>
      <protection/>
    </xf>
    <xf numFmtId="2" fontId="17" fillId="32" borderId="10" xfId="0" applyNumberFormat="1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wrapText="1"/>
    </xf>
    <xf numFmtId="2" fontId="17" fillId="32" borderId="0" xfId="0" applyNumberFormat="1" applyFont="1" applyFill="1" applyBorder="1" applyAlignment="1">
      <alignment horizontal="center" vertical="center"/>
    </xf>
    <xf numFmtId="2" fontId="17" fillId="32" borderId="22" xfId="42" applyNumberFormat="1" applyFont="1" applyFill="1" applyBorder="1" applyAlignment="1" applyProtection="1">
      <alignment horizontal="center" vertical="center"/>
      <protection/>
    </xf>
    <xf numFmtId="2" fontId="17" fillId="32" borderId="23" xfId="0" applyNumberFormat="1" applyFont="1" applyFill="1" applyBorder="1" applyAlignment="1">
      <alignment horizontal="center"/>
    </xf>
    <xf numFmtId="2" fontId="17" fillId="32" borderId="11" xfId="0" applyNumberFormat="1" applyFont="1" applyFill="1" applyBorder="1" applyAlignment="1" applyProtection="1">
      <alignment horizontal="left"/>
      <protection/>
    </xf>
    <xf numFmtId="2" fontId="17" fillId="32" borderId="11" xfId="0" applyNumberFormat="1" applyFont="1" applyFill="1" applyBorder="1" applyAlignment="1" applyProtection="1">
      <alignment horizontal="center" vertical="center"/>
      <protection/>
    </xf>
    <xf numFmtId="2" fontId="17" fillId="32" borderId="20" xfId="42" applyNumberFormat="1" applyFont="1" applyFill="1" applyBorder="1" applyAlignment="1" applyProtection="1">
      <alignment horizontal="center" vertical="center"/>
      <protection/>
    </xf>
    <xf numFmtId="0" fontId="17" fillId="32" borderId="23" xfId="0" applyFont="1" applyFill="1" applyBorder="1" applyAlignment="1">
      <alignment horizontal="center"/>
    </xf>
    <xf numFmtId="2" fontId="17" fillId="32" borderId="10" xfId="0" applyNumberFormat="1" applyFont="1" applyFill="1" applyBorder="1" applyAlignment="1" applyProtection="1">
      <alignment horizontal="left" vertical="center"/>
      <protection/>
    </xf>
    <xf numFmtId="2" fontId="17" fillId="44" borderId="22" xfId="42" applyNumberFormat="1" applyFont="1" applyFill="1" applyBorder="1" applyAlignment="1" applyProtection="1">
      <alignment horizontal="center" vertical="center"/>
      <protection/>
    </xf>
    <xf numFmtId="2" fontId="17" fillId="32" borderId="10" xfId="0" applyNumberFormat="1" applyFont="1" applyFill="1" applyBorder="1" applyAlignment="1" applyProtection="1">
      <alignment horizontal="left" wrapText="1"/>
      <protection/>
    </xf>
    <xf numFmtId="2" fontId="17" fillId="32" borderId="10" xfId="0" applyNumberFormat="1" applyFont="1" applyFill="1" applyBorder="1" applyAlignment="1" applyProtection="1">
      <alignment horizontal="left" vertical="center" wrapText="1"/>
      <protection/>
    </xf>
    <xf numFmtId="2" fontId="17" fillId="32" borderId="23" xfId="0" applyNumberFormat="1" applyFont="1" applyFill="1" applyBorder="1" applyAlignment="1">
      <alignment vertical="center" wrapText="1"/>
    </xf>
    <xf numFmtId="2" fontId="17" fillId="32" borderId="10" xfId="0" applyNumberFormat="1" applyFont="1" applyFill="1" applyBorder="1" applyAlignment="1">
      <alignment vertical="center"/>
    </xf>
    <xf numFmtId="1" fontId="17" fillId="32" borderId="13" xfId="0" applyNumberFormat="1" applyFont="1" applyFill="1" applyBorder="1" applyAlignment="1">
      <alignment horizontal="center"/>
    </xf>
    <xf numFmtId="49" fontId="17" fillId="32" borderId="10" xfId="0" applyNumberFormat="1" applyFont="1" applyFill="1" applyBorder="1" applyAlignment="1" applyProtection="1">
      <alignment wrapText="1"/>
      <protection/>
    </xf>
    <xf numFmtId="49" fontId="17" fillId="32" borderId="10" xfId="0" applyNumberFormat="1" applyFont="1" applyFill="1" applyBorder="1" applyAlignment="1" applyProtection="1">
      <alignment horizontal="center"/>
      <protection/>
    </xf>
    <xf numFmtId="2" fontId="17" fillId="32" borderId="23" xfId="0" applyNumberFormat="1" applyFont="1" applyFill="1" applyBorder="1" applyAlignment="1">
      <alignment horizontal="center" vertical="center" wrapText="1"/>
    </xf>
    <xf numFmtId="2" fontId="17" fillId="32" borderId="24" xfId="0" applyNumberFormat="1" applyFont="1" applyFill="1" applyBorder="1" applyAlignment="1" applyProtection="1">
      <alignment horizontal="left" vertical="center" wrapText="1"/>
      <protection/>
    </xf>
    <xf numFmtId="2" fontId="17" fillId="32" borderId="24" xfId="0" applyNumberFormat="1" applyFont="1" applyFill="1" applyBorder="1" applyAlignment="1">
      <alignment horizontal="center"/>
    </xf>
    <xf numFmtId="1" fontId="17" fillId="32" borderId="25" xfId="0" applyNumberFormat="1" applyFont="1" applyFill="1" applyBorder="1" applyAlignment="1">
      <alignment horizontal="center"/>
    </xf>
    <xf numFmtId="2" fontId="17" fillId="32" borderId="26" xfId="0" applyNumberFormat="1" applyFont="1" applyFill="1" applyBorder="1" applyAlignment="1">
      <alignment vertical="center" wrapText="1"/>
    </xf>
    <xf numFmtId="2" fontId="17" fillId="32" borderId="24" xfId="0" applyNumberFormat="1" applyFont="1" applyFill="1" applyBorder="1" applyAlignment="1">
      <alignment vertical="center"/>
    </xf>
    <xf numFmtId="2" fontId="17" fillId="32" borderId="24" xfId="0" applyNumberFormat="1" applyFont="1" applyFill="1" applyBorder="1" applyAlignment="1">
      <alignment horizontal="center" vertical="center"/>
    </xf>
    <xf numFmtId="2" fontId="17" fillId="32" borderId="24" xfId="0" applyNumberFormat="1" applyFont="1" applyFill="1" applyBorder="1" applyAlignment="1">
      <alignment horizontal="center" vertical="distributed"/>
    </xf>
    <xf numFmtId="1" fontId="17" fillId="32" borderId="0" xfId="0" applyNumberFormat="1" applyFont="1" applyFill="1" applyAlignment="1">
      <alignment horizontal="center"/>
    </xf>
    <xf numFmtId="1" fontId="17" fillId="32" borderId="22" xfId="0" applyNumberFormat="1" applyFont="1" applyFill="1" applyBorder="1" applyAlignment="1">
      <alignment horizontal="center"/>
    </xf>
    <xf numFmtId="2" fontId="18" fillId="32" borderId="27" xfId="0" applyNumberFormat="1" applyFont="1" applyFill="1" applyBorder="1" applyAlignment="1">
      <alignment horizontal="center"/>
    </xf>
    <xf numFmtId="2" fontId="18" fillId="32" borderId="28" xfId="0" applyNumberFormat="1" applyFont="1" applyFill="1" applyBorder="1" applyAlignment="1">
      <alignment horizontal="center"/>
    </xf>
    <xf numFmtId="2" fontId="17" fillId="32" borderId="28" xfId="0" applyNumberFormat="1" applyFont="1" applyFill="1" applyBorder="1" applyAlignment="1">
      <alignment horizontal="center"/>
    </xf>
    <xf numFmtId="2" fontId="17" fillId="32" borderId="29" xfId="0" applyNumberFormat="1" applyFont="1" applyFill="1" applyBorder="1" applyAlignment="1">
      <alignment horizontal="center"/>
    </xf>
    <xf numFmtId="2" fontId="17" fillId="32" borderId="10" xfId="0" applyNumberFormat="1" applyFont="1" applyFill="1" applyBorder="1" applyAlignment="1">
      <alignment horizontal="center" wrapText="1"/>
    </xf>
    <xf numFmtId="2" fontId="17" fillId="32" borderId="22" xfId="0" applyNumberFormat="1" applyFont="1" applyFill="1" applyBorder="1" applyAlignment="1">
      <alignment horizontal="center" wrapText="1"/>
    </xf>
    <xf numFmtId="0" fontId="17" fillId="32" borderId="30" xfId="0" applyFont="1" applyFill="1" applyBorder="1" applyAlignment="1">
      <alignment wrapText="1"/>
    </xf>
    <xf numFmtId="0" fontId="17" fillId="32" borderId="31" xfId="0" applyFont="1" applyFill="1" applyBorder="1" applyAlignment="1">
      <alignment wrapText="1"/>
    </xf>
    <xf numFmtId="2" fontId="17" fillId="32" borderId="31" xfId="0" applyNumberFormat="1" applyFont="1" applyFill="1" applyBorder="1" applyAlignment="1">
      <alignment wrapText="1"/>
    </xf>
    <xf numFmtId="0" fontId="17" fillId="32" borderId="32" xfId="0" applyFont="1" applyFill="1" applyBorder="1" applyAlignment="1">
      <alignment wrapText="1"/>
    </xf>
    <xf numFmtId="0" fontId="17" fillId="32" borderId="16" xfId="0" applyFont="1" applyFill="1" applyBorder="1" applyAlignment="1">
      <alignment wrapText="1"/>
    </xf>
    <xf numFmtId="2" fontId="17" fillId="32" borderId="16" xfId="0" applyNumberFormat="1" applyFont="1" applyFill="1" applyBorder="1" applyAlignment="1">
      <alignment wrapText="1"/>
    </xf>
    <xf numFmtId="0" fontId="17" fillId="32" borderId="23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2" fontId="17" fillId="32" borderId="10" xfId="0" applyNumberFormat="1" applyFont="1" applyFill="1" applyBorder="1" applyAlignment="1">
      <alignment wrapText="1"/>
    </xf>
    <xf numFmtId="0" fontId="17" fillId="32" borderId="26" xfId="0" applyFont="1" applyFill="1" applyBorder="1" applyAlignment="1">
      <alignment wrapText="1"/>
    </xf>
    <xf numFmtId="0" fontId="17" fillId="32" borderId="24" xfId="0" applyFont="1" applyFill="1" applyBorder="1" applyAlignment="1">
      <alignment wrapText="1"/>
    </xf>
    <xf numFmtId="2" fontId="17" fillId="32" borderId="24" xfId="0" applyNumberFormat="1" applyFont="1" applyFill="1" applyBorder="1" applyAlignment="1">
      <alignment wrapText="1"/>
    </xf>
    <xf numFmtId="0" fontId="17" fillId="32" borderId="21" xfId="0" applyFont="1" applyFill="1" applyBorder="1" applyAlignment="1">
      <alignment wrapText="1"/>
    </xf>
    <xf numFmtId="0" fontId="17" fillId="32" borderId="11" xfId="0" applyFont="1" applyFill="1" applyBorder="1" applyAlignment="1">
      <alignment wrapText="1"/>
    </xf>
    <xf numFmtId="2" fontId="17" fillId="32" borderId="11" xfId="0" applyNumberFormat="1" applyFont="1" applyFill="1" applyBorder="1" applyAlignment="1">
      <alignment wrapText="1"/>
    </xf>
    <xf numFmtId="2" fontId="17" fillId="32" borderId="10" xfId="0" applyNumberFormat="1" applyFont="1" applyFill="1" applyBorder="1" applyAlignment="1">
      <alignment horizontal="right"/>
    </xf>
    <xf numFmtId="2" fontId="18" fillId="32" borderId="10" xfId="0" applyNumberFormat="1" applyFont="1" applyFill="1" applyBorder="1" applyAlignment="1">
      <alignment horizontal="center"/>
    </xf>
    <xf numFmtId="1" fontId="17" fillId="32" borderId="24" xfId="0" applyNumberFormat="1" applyFont="1" applyFill="1" applyBorder="1" applyAlignment="1">
      <alignment horizontal="center"/>
    </xf>
    <xf numFmtId="2" fontId="18" fillId="32" borderId="24" xfId="0" applyNumberFormat="1" applyFont="1" applyFill="1" applyBorder="1" applyAlignment="1">
      <alignment horizontal="center"/>
    </xf>
    <xf numFmtId="1" fontId="17" fillId="32" borderId="11" xfId="0" applyNumberFormat="1" applyFont="1" applyFill="1" applyBorder="1" applyAlignment="1">
      <alignment horizontal="center"/>
    </xf>
    <xf numFmtId="2" fontId="18" fillId="32" borderId="11" xfId="0" applyNumberFormat="1" applyFont="1" applyFill="1" applyBorder="1" applyAlignment="1">
      <alignment horizontal="center"/>
    </xf>
    <xf numFmtId="0" fontId="18" fillId="32" borderId="10" xfId="0" applyFont="1" applyFill="1" applyBorder="1" applyAlignment="1">
      <alignment vertical="center" wrapText="1"/>
    </xf>
    <xf numFmtId="10" fontId="17" fillId="32" borderId="10" xfId="0" applyNumberFormat="1" applyFont="1" applyFill="1" applyBorder="1" applyAlignment="1">
      <alignment horizontal="center"/>
    </xf>
    <xf numFmtId="0" fontId="18" fillId="32" borderId="10" xfId="0" applyFont="1" applyFill="1" applyBorder="1" applyAlignment="1">
      <alignment vertical="center"/>
    </xf>
    <xf numFmtId="0" fontId="18" fillId="32" borderId="24" xfId="0" applyFont="1" applyFill="1" applyBorder="1" applyAlignment="1">
      <alignment vertical="center"/>
    </xf>
    <xf numFmtId="10" fontId="17" fillId="32" borderId="24" xfId="0" applyNumberFormat="1" applyFont="1" applyFill="1" applyBorder="1" applyAlignment="1">
      <alignment horizontal="center"/>
    </xf>
    <xf numFmtId="0" fontId="17" fillId="32" borderId="0" xfId="0" applyFont="1" applyFill="1" applyAlignment="1">
      <alignment horizontal="center" wrapText="1"/>
    </xf>
    <xf numFmtId="2" fontId="17" fillId="44" borderId="22" xfId="0" applyNumberFormat="1" applyFont="1" applyFill="1" applyBorder="1" applyAlignment="1" applyProtection="1">
      <alignment/>
      <protection/>
    </xf>
    <xf numFmtId="49" fontId="17" fillId="32" borderId="18" xfId="0" applyNumberFormat="1" applyFont="1" applyFill="1" applyBorder="1" applyAlignment="1" applyProtection="1">
      <alignment horizontal="center"/>
      <protection/>
    </xf>
    <xf numFmtId="2" fontId="18" fillId="32" borderId="33" xfId="0" applyNumberFormat="1" applyFont="1" applyFill="1" applyBorder="1" applyAlignment="1" applyProtection="1">
      <alignment/>
      <protection/>
    </xf>
    <xf numFmtId="2" fontId="18" fillId="32" borderId="34" xfId="0" applyNumberFormat="1" applyFont="1" applyFill="1" applyBorder="1" applyAlignment="1" applyProtection="1">
      <alignment/>
      <protection/>
    </xf>
    <xf numFmtId="2" fontId="18" fillId="32" borderId="33" xfId="0" applyNumberFormat="1" applyFont="1" applyFill="1" applyBorder="1" applyAlignment="1" applyProtection="1">
      <alignment horizontal="center"/>
      <protection/>
    </xf>
    <xf numFmtId="0" fontId="17" fillId="32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/>
    </xf>
    <xf numFmtId="0" fontId="3" fillId="5" borderId="14" xfId="0" applyFont="1" applyFill="1" applyBorder="1" applyAlignment="1">
      <alignment horizontal="center" textRotation="90"/>
    </xf>
    <xf numFmtId="0" fontId="3" fillId="10" borderId="14" xfId="0" applyFont="1" applyFill="1" applyBorder="1" applyAlignment="1">
      <alignment horizontal="center" textRotation="90"/>
    </xf>
    <xf numFmtId="0" fontId="3" fillId="43" borderId="10" xfId="0" applyFont="1" applyFill="1" applyBorder="1" applyAlignment="1">
      <alignment/>
    </xf>
    <xf numFmtId="0" fontId="3" fillId="45" borderId="10" xfId="0" applyFont="1" applyFill="1" applyBorder="1" applyAlignment="1">
      <alignment/>
    </xf>
    <xf numFmtId="0" fontId="3" fillId="46" borderId="14" xfId="0" applyFont="1" applyFill="1" applyBorder="1" applyAlignment="1">
      <alignment horizontal="center" textRotation="90"/>
    </xf>
    <xf numFmtId="0" fontId="3" fillId="46" borderId="10" xfId="0" applyFont="1" applyFill="1" applyBorder="1" applyAlignment="1">
      <alignment/>
    </xf>
    <xf numFmtId="0" fontId="3" fillId="44" borderId="10" xfId="0" applyFont="1" applyFill="1" applyBorder="1" applyAlignment="1">
      <alignment/>
    </xf>
    <xf numFmtId="0" fontId="3" fillId="42" borderId="10" xfId="0" applyFont="1" applyFill="1" applyBorder="1" applyAlignment="1">
      <alignment/>
    </xf>
    <xf numFmtId="0" fontId="3" fillId="47" borderId="10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3" fillId="48" borderId="10" xfId="0" applyFont="1" applyFill="1" applyBorder="1" applyAlignment="1">
      <alignment/>
    </xf>
    <xf numFmtId="0" fontId="3" fillId="48" borderId="14" xfId="0" applyFont="1" applyFill="1" applyBorder="1" applyAlignment="1">
      <alignment horizontal="center" textRotation="90"/>
    </xf>
    <xf numFmtId="0" fontId="3" fillId="49" borderId="14" xfId="0" applyFont="1" applyFill="1" applyBorder="1" applyAlignment="1">
      <alignment horizontal="center" textRotation="90"/>
    </xf>
    <xf numFmtId="0" fontId="3" fillId="40" borderId="10" xfId="0" applyFont="1" applyFill="1" applyBorder="1" applyAlignment="1">
      <alignment/>
    </xf>
    <xf numFmtId="0" fontId="3" fillId="50" borderId="10" xfId="0" applyFont="1" applyFill="1" applyBorder="1" applyAlignment="1">
      <alignment/>
    </xf>
    <xf numFmtId="0" fontId="3" fillId="50" borderId="14" xfId="0" applyFont="1" applyFill="1" applyBorder="1" applyAlignment="1">
      <alignment horizontal="center" textRotation="90"/>
    </xf>
    <xf numFmtId="0" fontId="3" fillId="18" borderId="14" xfId="0" applyFont="1" applyFill="1" applyBorder="1" applyAlignment="1">
      <alignment horizontal="center" textRotation="90"/>
    </xf>
    <xf numFmtId="0" fontId="3" fillId="51" borderId="14" xfId="0" applyFont="1" applyFill="1" applyBorder="1" applyAlignment="1">
      <alignment horizontal="center" textRotation="90"/>
    </xf>
    <xf numFmtId="0" fontId="3" fillId="52" borderId="14" xfId="0" applyFont="1" applyFill="1" applyBorder="1" applyAlignment="1">
      <alignment horizontal="center" textRotation="90"/>
    </xf>
    <xf numFmtId="0" fontId="3" fillId="47" borderId="14" xfId="0" applyFont="1" applyFill="1" applyBorder="1" applyAlignment="1">
      <alignment horizontal="center" textRotation="90"/>
    </xf>
    <xf numFmtId="0" fontId="3" fillId="53" borderId="14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 horizontal="center" textRotation="90"/>
    </xf>
    <xf numFmtId="0" fontId="3" fillId="10" borderId="10" xfId="0" applyFont="1" applyFill="1" applyBorder="1" applyAlignment="1">
      <alignment horizontal="center" textRotation="90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1" fontId="4" fillId="0" borderId="36" xfId="59" applyNumberFormat="1" applyFont="1" applyFill="1" applyBorder="1" applyAlignment="1">
      <alignment horizontal="center" vertical="center"/>
      <protection/>
    </xf>
    <xf numFmtId="1" fontId="4" fillId="0" borderId="37" xfId="59" applyNumberFormat="1" applyFont="1" applyFill="1" applyBorder="1" applyAlignment="1">
      <alignment horizontal="center" vertical="center"/>
      <protection/>
    </xf>
    <xf numFmtId="1" fontId="15" fillId="0" borderId="30" xfId="0" applyNumberFormat="1" applyFont="1" applyFill="1" applyBorder="1" applyAlignment="1">
      <alignment horizontal="center"/>
    </xf>
    <xf numFmtId="1" fontId="15" fillId="0" borderId="38" xfId="0" applyNumberFormat="1" applyFont="1" applyFill="1" applyBorder="1" applyAlignment="1">
      <alignment horizontal="center"/>
    </xf>
    <xf numFmtId="1" fontId="15" fillId="0" borderId="37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3" fillId="0" borderId="39" xfId="59" applyNumberFormat="1" applyFont="1" applyFill="1" applyBorder="1" applyAlignment="1">
      <alignment horizontal="center" vertical="center"/>
      <protection/>
    </xf>
    <xf numFmtId="2" fontId="3" fillId="0" borderId="40" xfId="59" applyNumberFormat="1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2" fontId="6" fillId="0" borderId="4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wrapText="1"/>
    </xf>
    <xf numFmtId="2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0" fontId="6" fillId="0" borderId="10" xfId="46" applyFont="1" applyFill="1" applyBorder="1" applyAlignment="1">
      <alignment horizontal="center" vertical="center"/>
      <protection/>
    </xf>
    <xf numFmtId="2" fontId="3" fillId="0" borderId="13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 vertical="center" wrapText="1"/>
    </xf>
    <xf numFmtId="2" fontId="3" fillId="0" borderId="17" xfId="0" applyNumberFormat="1" applyFont="1" applyFill="1" applyBorder="1" applyAlignment="1">
      <alignment vertical="center" wrapText="1"/>
    </xf>
    <xf numFmtId="2" fontId="3" fillId="0" borderId="42" xfId="0" applyNumberFormat="1" applyFont="1" applyFill="1" applyBorder="1" applyAlignment="1">
      <alignment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/>
    </xf>
    <xf numFmtId="2" fontId="3" fillId="0" borderId="31" xfId="0" applyNumberFormat="1" applyFont="1" applyFill="1" applyBorder="1" applyAlignment="1">
      <alignment/>
    </xf>
    <xf numFmtId="2" fontId="3" fillId="0" borderId="31" xfId="0" applyNumberFormat="1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2" fontId="3" fillId="0" borderId="3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wrapText="1"/>
    </xf>
    <xf numFmtId="2" fontId="3" fillId="0" borderId="15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/>
    </xf>
    <xf numFmtId="2" fontId="3" fillId="0" borderId="42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/>
    </xf>
    <xf numFmtId="2" fontId="4" fillId="0" borderId="42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42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16" fontId="3" fillId="0" borderId="10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/>
    </xf>
    <xf numFmtId="0" fontId="3" fillId="0" borderId="44" xfId="0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/>
    </xf>
    <xf numFmtId="2" fontId="3" fillId="0" borderId="44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/>
    </xf>
    <xf numFmtId="2" fontId="3" fillId="0" borderId="4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2" fontId="3" fillId="54" borderId="10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2" fontId="4" fillId="0" borderId="43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2" fontId="3" fillId="32" borderId="23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49" fontId="6" fillId="0" borderId="18" xfId="46" applyNumberFormat="1" applyFont="1" applyFill="1" applyBorder="1" applyAlignment="1">
      <alignment horizontal="center" vertical="center"/>
      <protection/>
    </xf>
    <xf numFmtId="0" fontId="6" fillId="0" borderId="18" xfId="46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/>
    </xf>
    <xf numFmtId="2" fontId="3" fillId="0" borderId="49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16" fontId="13" fillId="0" borderId="19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6" fillId="0" borderId="18" xfId="46" applyNumberFormat="1" applyFont="1" applyFill="1" applyBorder="1" applyAlignment="1">
      <alignment horizontal="center" vertical="center" wrapText="1"/>
      <protection/>
    </xf>
    <xf numFmtId="2" fontId="3" fillId="0" borderId="53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2" fontId="3" fillId="32" borderId="50" xfId="0" applyNumberFormat="1" applyFont="1" applyFill="1" applyBorder="1" applyAlignment="1">
      <alignment horizontal="center" vertical="center"/>
    </xf>
    <xf numFmtId="2" fontId="3" fillId="32" borderId="16" xfId="0" applyNumberFormat="1" applyFont="1" applyFill="1" applyBorder="1" applyAlignment="1">
      <alignment horizontal="center" vertical="center"/>
    </xf>
    <xf numFmtId="2" fontId="4" fillId="32" borderId="31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1" fontId="4" fillId="0" borderId="55" xfId="59" applyNumberFormat="1" applyFont="1" applyFill="1" applyBorder="1" applyAlignment="1">
      <alignment horizontal="center" vertical="center"/>
      <protection/>
    </xf>
    <xf numFmtId="2" fontId="3" fillId="0" borderId="56" xfId="59" applyNumberFormat="1" applyFont="1" applyFill="1" applyBorder="1" applyAlignment="1">
      <alignment horizontal="center" vertical="center"/>
      <protection/>
    </xf>
    <xf numFmtId="2" fontId="3" fillId="0" borderId="23" xfId="59" applyNumberFormat="1" applyFont="1" applyFill="1" applyBorder="1" applyAlignment="1">
      <alignment horizontal="center" vertical="center"/>
      <protection/>
    </xf>
    <xf numFmtId="2" fontId="4" fillId="0" borderId="23" xfId="59" applyNumberFormat="1" applyFont="1" applyFill="1" applyBorder="1" applyAlignment="1">
      <alignment horizontal="center" vertical="center"/>
      <protection/>
    </xf>
    <xf numFmtId="2" fontId="3" fillId="0" borderId="26" xfId="59" applyNumberFormat="1" applyFont="1" applyFill="1" applyBorder="1" applyAlignment="1">
      <alignment horizontal="center" vertical="center"/>
      <protection/>
    </xf>
    <xf numFmtId="2" fontId="4" fillId="0" borderId="21" xfId="0" applyNumberFormat="1" applyFont="1" applyFill="1" applyBorder="1" applyAlignment="1">
      <alignment horizontal="center" vertical="center"/>
    </xf>
    <xf numFmtId="2" fontId="6" fillId="0" borderId="23" xfId="46" applyNumberFormat="1" applyFont="1" applyFill="1" applyBorder="1" applyAlignment="1">
      <alignment horizontal="center" vertical="center"/>
      <protection/>
    </xf>
    <xf numFmtId="2" fontId="4" fillId="0" borderId="23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2" fontId="3" fillId="0" borderId="30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2" fontId="3" fillId="0" borderId="47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51" xfId="0" applyNumberFormat="1" applyFont="1" applyFill="1" applyBorder="1" applyAlignment="1">
      <alignment horizontal="center" vertical="center"/>
    </xf>
    <xf numFmtId="2" fontId="3" fillId="0" borderId="52" xfId="0" applyNumberFormat="1" applyFont="1" applyFill="1" applyBorder="1" applyAlignment="1">
      <alignment horizontal="center" vertical="center"/>
    </xf>
    <xf numFmtId="2" fontId="3" fillId="55" borderId="35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58" xfId="0" applyNumberFormat="1" applyFont="1" applyFill="1" applyBorder="1" applyAlignment="1">
      <alignment horizontal="center" vertical="center"/>
    </xf>
    <xf numFmtId="2" fontId="3" fillId="55" borderId="59" xfId="0" applyNumberFormat="1" applyFont="1" applyFill="1" applyBorder="1" applyAlignment="1">
      <alignment horizontal="center" vertical="center"/>
    </xf>
    <xf numFmtId="2" fontId="3" fillId="0" borderId="60" xfId="0" applyNumberFormat="1" applyFont="1" applyFill="1" applyBorder="1" applyAlignment="1">
      <alignment horizontal="center" vertical="center"/>
    </xf>
    <xf numFmtId="2" fontId="3" fillId="32" borderId="22" xfId="0" applyNumberFormat="1" applyFont="1" applyFill="1" applyBorder="1" applyAlignment="1">
      <alignment horizontal="center" vertical="center"/>
    </xf>
    <xf numFmtId="2" fontId="3" fillId="32" borderId="54" xfId="0" applyNumberFormat="1" applyFont="1" applyFill="1" applyBorder="1" applyAlignment="1">
      <alignment horizontal="center" vertical="center"/>
    </xf>
    <xf numFmtId="2" fontId="4" fillId="32" borderId="35" xfId="0" applyNumberFormat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 wrapText="1"/>
    </xf>
    <xf numFmtId="0" fontId="3" fillId="56" borderId="13" xfId="0" applyFont="1" applyFill="1" applyBorder="1" applyAlignment="1">
      <alignment vertical="center" wrapText="1"/>
    </xf>
    <xf numFmtId="0" fontId="6" fillId="0" borderId="13" xfId="46" applyFont="1" applyFill="1" applyBorder="1" applyAlignment="1">
      <alignment horizontal="left" vertical="center" wrapText="1"/>
      <protection/>
    </xf>
    <xf numFmtId="0" fontId="6" fillId="0" borderId="13" xfId="46" applyFont="1" applyFill="1" applyBorder="1" applyAlignment="1">
      <alignment horizontal="right" vertical="center" wrapText="1"/>
      <protection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right"/>
    </xf>
    <xf numFmtId="0" fontId="3" fillId="56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wrapText="1"/>
    </xf>
    <xf numFmtId="0" fontId="3" fillId="56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 vertical="center" wrapText="1"/>
    </xf>
    <xf numFmtId="0" fontId="56" fillId="0" borderId="13" xfId="54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horizontal="right" vertical="center"/>
    </xf>
    <xf numFmtId="0" fontId="56" fillId="0" borderId="13" xfId="0" applyFont="1" applyFill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right" vertical="center" wrapText="1"/>
    </xf>
    <xf numFmtId="0" fontId="56" fillId="0" borderId="13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justify" vertical="center"/>
    </xf>
    <xf numFmtId="0" fontId="3" fillId="56" borderId="15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vertical="top" wrapText="1"/>
    </xf>
    <xf numFmtId="2" fontId="3" fillId="0" borderId="13" xfId="0" applyNumberFormat="1" applyFont="1" applyFill="1" applyBorder="1" applyAlignment="1">
      <alignment horizontal="right" vertical="center"/>
    </xf>
    <xf numFmtId="2" fontId="56" fillId="0" borderId="13" xfId="0" applyNumberFormat="1" applyFont="1" applyFill="1" applyBorder="1" applyAlignment="1">
      <alignment horizontal="left" vertical="center"/>
    </xf>
    <xf numFmtId="0" fontId="3" fillId="56" borderId="13" xfId="0" applyFont="1" applyFill="1" applyBorder="1" applyAlignment="1">
      <alignment horizontal="left" vertical="center" wrapText="1"/>
    </xf>
    <xf numFmtId="0" fontId="3" fillId="56" borderId="13" xfId="0" applyNumberFormat="1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/>
    </xf>
    <xf numFmtId="0" fontId="13" fillId="0" borderId="4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right" vertical="center"/>
    </xf>
    <xf numFmtId="0" fontId="13" fillId="0" borderId="42" xfId="0" applyFont="1" applyFill="1" applyBorder="1" applyAlignment="1">
      <alignment horizontal="justify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57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justify"/>
    </xf>
    <xf numFmtId="0" fontId="3" fillId="0" borderId="13" xfId="64" applyFont="1" applyFill="1" applyBorder="1" applyAlignment="1">
      <alignment horizontal="left"/>
      <protection/>
    </xf>
    <xf numFmtId="0" fontId="3" fillId="0" borderId="13" xfId="64" applyFont="1" applyFill="1" applyBorder="1" applyAlignment="1">
      <alignment horizontal="right"/>
      <protection/>
    </xf>
    <xf numFmtId="0" fontId="3" fillId="0" borderId="25" xfId="0" applyNumberFormat="1" applyFont="1" applyFill="1" applyBorder="1" applyAlignment="1">
      <alignment horizontal="right" wrapText="1"/>
    </xf>
    <xf numFmtId="0" fontId="4" fillId="0" borderId="45" xfId="0" applyFont="1" applyFill="1" applyBorder="1" applyAlignment="1">
      <alignment horizontal="right" vertical="center" wrapText="1"/>
    </xf>
    <xf numFmtId="0" fontId="3" fillId="0" borderId="13" xfId="54" applyFont="1" applyFill="1" applyBorder="1" applyAlignment="1" applyProtection="1">
      <alignment horizontal="left" vertical="center" wrapText="1"/>
      <protection/>
    </xf>
    <xf numFmtId="0" fontId="56" fillId="0" borderId="1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/>
    </xf>
    <xf numFmtId="2" fontId="3" fillId="57" borderId="34" xfId="0" applyNumberFormat="1" applyFont="1" applyFill="1" applyBorder="1" applyAlignment="1">
      <alignment horizontal="center" vertical="center" wrapText="1"/>
    </xf>
    <xf numFmtId="2" fontId="3" fillId="57" borderId="34" xfId="0" applyNumberFormat="1" applyFont="1" applyFill="1" applyBorder="1" applyAlignment="1">
      <alignment horizontal="center" vertical="center"/>
    </xf>
    <xf numFmtId="2" fontId="6" fillId="0" borderId="34" xfId="46" applyNumberFormat="1" applyFont="1" applyFill="1" applyBorder="1" applyAlignment="1">
      <alignment horizontal="center" vertical="center"/>
      <protection/>
    </xf>
    <xf numFmtId="2" fontId="3" fillId="54" borderId="34" xfId="0" applyNumberFormat="1" applyFont="1" applyFill="1" applyBorder="1" applyAlignment="1">
      <alignment horizontal="center" vertical="center"/>
    </xf>
    <xf numFmtId="4" fontId="3" fillId="58" borderId="34" xfId="0" applyNumberFormat="1" applyFont="1" applyFill="1" applyBorder="1" applyAlignment="1">
      <alignment horizontal="center" vertical="center"/>
    </xf>
    <xf numFmtId="2" fontId="3" fillId="58" borderId="34" xfId="0" applyNumberFormat="1" applyFont="1" applyFill="1" applyBorder="1" applyAlignment="1">
      <alignment horizontal="center" vertical="center"/>
    </xf>
    <xf numFmtId="2" fontId="3" fillId="0" borderId="61" xfId="0" applyNumberFormat="1" applyFont="1" applyFill="1" applyBorder="1" applyAlignment="1">
      <alignment horizontal="center" vertical="center"/>
    </xf>
    <xf numFmtId="2" fontId="3" fillId="0" borderId="62" xfId="0" applyNumberFormat="1" applyFont="1" applyFill="1" applyBorder="1" applyAlignment="1">
      <alignment horizontal="center" vertical="center"/>
    </xf>
    <xf numFmtId="2" fontId="3" fillId="0" borderId="62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2" fontId="3" fillId="57" borderId="56" xfId="0" applyNumberFormat="1" applyFont="1" applyFill="1" applyBorder="1" applyAlignment="1">
      <alignment horizontal="center" vertical="center" wrapText="1"/>
    </xf>
    <xf numFmtId="2" fontId="3" fillId="57" borderId="62" xfId="0" applyNumberFormat="1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>
      <alignment horizontal="center" vertical="center"/>
    </xf>
    <xf numFmtId="0" fontId="3" fillId="57" borderId="34" xfId="0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4" fontId="3" fillId="57" borderId="56" xfId="0" applyNumberFormat="1" applyFont="1" applyFill="1" applyBorder="1" applyAlignment="1">
      <alignment horizontal="center" vertical="center"/>
    </xf>
    <xf numFmtId="4" fontId="3" fillId="57" borderId="34" xfId="0" applyNumberFormat="1" applyFont="1" applyFill="1" applyBorder="1" applyAlignment="1">
      <alignment horizontal="center" vertical="center"/>
    </xf>
    <xf numFmtId="0" fontId="3" fillId="57" borderId="34" xfId="0" applyFont="1" applyFill="1" applyBorder="1" applyAlignment="1">
      <alignment horizontal="center" vertical="center"/>
    </xf>
    <xf numFmtId="2" fontId="3" fillId="0" borderId="56" xfId="0" applyNumberFormat="1" applyFont="1" applyFill="1" applyBorder="1" applyAlignment="1">
      <alignment horizontal="center" vertical="center"/>
    </xf>
    <xf numFmtId="2" fontId="3" fillId="0" borderId="56" xfId="0" applyNumberFormat="1" applyFont="1" applyFill="1" applyBorder="1" applyAlignment="1">
      <alignment horizontal="center" vertical="center" wrapText="1"/>
    </xf>
    <xf numFmtId="2" fontId="3" fillId="57" borderId="62" xfId="0" applyNumberFormat="1" applyFont="1" applyFill="1" applyBorder="1" applyAlignment="1">
      <alignment horizontal="center" vertical="center" wrapText="1"/>
    </xf>
    <xf numFmtId="180" fontId="3" fillId="0" borderId="34" xfId="0" applyNumberFormat="1" applyFont="1" applyFill="1" applyBorder="1" applyAlignment="1">
      <alignment horizontal="center" vertical="center" wrapText="1"/>
    </xf>
    <xf numFmtId="180" fontId="3" fillId="0" borderId="34" xfId="0" applyNumberFormat="1" applyFont="1" applyFill="1" applyBorder="1" applyAlignment="1">
      <alignment horizontal="center" vertical="center"/>
    </xf>
    <xf numFmtId="2" fontId="6" fillId="0" borderId="34" xfId="46" applyNumberFormat="1" applyFont="1" applyFill="1" applyBorder="1" applyAlignment="1">
      <alignment horizontal="center" vertical="center" wrapText="1"/>
      <protection/>
    </xf>
    <xf numFmtId="0" fontId="3" fillId="0" borderId="6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 vertical="center" wrapText="1"/>
    </xf>
    <xf numFmtId="2" fontId="3" fillId="0" borderId="64" xfId="0" applyNumberFormat="1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180" fontId="3" fillId="0" borderId="64" xfId="0" applyNumberFormat="1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distributed"/>
    </xf>
    <xf numFmtId="0" fontId="6" fillId="0" borderId="64" xfId="46" applyFont="1" applyFill="1" applyBorder="1" applyAlignment="1">
      <alignment horizontal="center" vertical="center"/>
      <protection/>
    </xf>
    <xf numFmtId="0" fontId="3" fillId="0" borderId="6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1" fontId="3" fillId="0" borderId="64" xfId="0" applyNumberFormat="1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2" fontId="3" fillId="0" borderId="65" xfId="0" applyNumberFormat="1" applyFont="1" applyFill="1" applyBorder="1" applyAlignment="1">
      <alignment horizontal="center" vertical="center" wrapText="1"/>
    </xf>
    <xf numFmtId="0" fontId="6" fillId="0" borderId="64" xfId="46" applyFont="1" applyFill="1" applyBorder="1" applyAlignment="1">
      <alignment horizontal="center" vertical="center" wrapText="1"/>
      <protection/>
    </xf>
    <xf numFmtId="0" fontId="3" fillId="0" borderId="67" xfId="0" applyFont="1" applyFill="1" applyBorder="1" applyAlignment="1">
      <alignment vertical="center" wrapText="1"/>
    </xf>
    <xf numFmtId="2" fontId="3" fillId="0" borderId="64" xfId="0" applyNumberFormat="1" applyFont="1" applyFill="1" applyBorder="1" applyAlignment="1">
      <alignment horizontal="center" wrapText="1"/>
    </xf>
    <xf numFmtId="0" fontId="3" fillId="0" borderId="66" xfId="0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 wrapText="1"/>
    </xf>
    <xf numFmtId="0" fontId="3" fillId="32" borderId="6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right" vertical="center" wrapText="1"/>
    </xf>
    <xf numFmtId="0" fontId="16" fillId="0" borderId="13" xfId="54" applyFont="1" applyFill="1" applyBorder="1" applyAlignment="1" applyProtection="1">
      <alignment vertical="center" wrapText="1"/>
      <protection/>
    </xf>
    <xf numFmtId="0" fontId="3" fillId="0" borderId="13" xfId="54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>
      <alignment horizontal="left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 wrapText="1"/>
    </xf>
    <xf numFmtId="2" fontId="3" fillId="0" borderId="70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2" fontId="6" fillId="0" borderId="33" xfId="46" applyNumberFormat="1" applyFont="1" applyFill="1" applyBorder="1" applyAlignment="1">
      <alignment horizontal="center" vertical="center"/>
      <protection/>
    </xf>
    <xf numFmtId="2" fontId="3" fillId="0" borderId="7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2" fontId="3" fillId="0" borderId="69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2" fontId="4" fillId="0" borderId="68" xfId="0" applyNumberFormat="1" applyFont="1" applyFill="1" applyBorder="1" applyAlignment="1">
      <alignment horizontal="center" vertical="center" wrapText="1"/>
    </xf>
    <xf numFmtId="4" fontId="3" fillId="0" borderId="69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2" fontId="3" fillId="0" borderId="69" xfId="0" applyNumberFormat="1" applyFont="1" applyFill="1" applyBorder="1" applyAlignment="1">
      <alignment horizontal="center" vertical="center"/>
    </xf>
    <xf numFmtId="2" fontId="3" fillId="0" borderId="70" xfId="0" applyNumberFormat="1" applyFont="1" applyFill="1" applyBorder="1" applyAlignment="1">
      <alignment horizontal="center" vertical="center" wrapText="1"/>
    </xf>
    <xf numFmtId="180" fontId="3" fillId="0" borderId="33" xfId="0" applyNumberFormat="1" applyFont="1" applyFill="1" applyBorder="1" applyAlignment="1">
      <alignment horizontal="center" vertical="center" wrapText="1"/>
    </xf>
    <xf numFmtId="180" fontId="3" fillId="0" borderId="33" xfId="0" applyNumberFormat="1" applyFont="1" applyFill="1" applyBorder="1" applyAlignment="1">
      <alignment horizontal="center" vertical="center"/>
    </xf>
    <xf numFmtId="2" fontId="6" fillId="0" borderId="33" xfId="46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" fillId="32" borderId="64" xfId="0" applyFont="1" applyFill="1" applyBorder="1" applyAlignment="1">
      <alignment/>
    </xf>
    <xf numFmtId="0" fontId="3" fillId="0" borderId="64" xfId="0" applyFont="1" applyFill="1" applyBorder="1" applyAlignment="1">
      <alignment wrapText="1"/>
    </xf>
    <xf numFmtId="0" fontId="3" fillId="0" borderId="39" xfId="0" applyFont="1" applyFill="1" applyBorder="1" applyAlignment="1">
      <alignment horizontal="center" wrapText="1"/>
    </xf>
    <xf numFmtId="10" fontId="3" fillId="0" borderId="64" xfId="0" applyNumberFormat="1" applyFont="1" applyFill="1" applyBorder="1" applyAlignment="1">
      <alignment horizontal="center" wrapText="1"/>
    </xf>
    <xf numFmtId="0" fontId="3" fillId="32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2" fontId="3" fillId="0" borderId="72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2" fontId="3" fillId="32" borderId="0" xfId="0" applyNumberFormat="1" applyFont="1" applyFill="1" applyBorder="1" applyAlignment="1">
      <alignment wrapText="1"/>
    </xf>
    <xf numFmtId="2" fontId="3" fillId="32" borderId="0" xfId="0" applyNumberFormat="1" applyFont="1" applyFill="1" applyBorder="1" applyAlignment="1">
      <alignment vertical="center"/>
    </xf>
    <xf numFmtId="0" fontId="3" fillId="32" borderId="0" xfId="0" applyNumberFormat="1" applyFont="1" applyFill="1" applyBorder="1" applyAlignment="1">
      <alignment horizontal="right" wrapText="1"/>
    </xf>
    <xf numFmtId="2" fontId="4" fillId="32" borderId="0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wrapText="1"/>
    </xf>
    <xf numFmtId="0" fontId="3" fillId="0" borderId="36" xfId="0" applyFont="1" applyFill="1" applyBorder="1" applyAlignment="1">
      <alignment vertical="center" wrapText="1"/>
    </xf>
    <xf numFmtId="2" fontId="3" fillId="32" borderId="36" xfId="0" applyNumberFormat="1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/>
    </xf>
    <xf numFmtId="2" fontId="3" fillId="32" borderId="36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left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vertical="center" wrapText="1"/>
    </xf>
    <xf numFmtId="0" fontId="3" fillId="32" borderId="64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32" borderId="22" xfId="0" applyNumberFormat="1" applyFont="1" applyFill="1" applyBorder="1" applyAlignment="1">
      <alignment horizontal="center" vertical="center" wrapText="1"/>
    </xf>
    <xf numFmtId="0" fontId="3" fillId="32" borderId="35" xfId="0" applyNumberFormat="1" applyFont="1" applyFill="1" applyBorder="1" applyAlignment="1">
      <alignment horizontal="right" wrapText="1"/>
    </xf>
    <xf numFmtId="2" fontId="3" fillId="32" borderId="35" xfId="0" applyNumberFormat="1" applyFont="1" applyFill="1" applyBorder="1" applyAlignment="1">
      <alignment horizontal="center"/>
    </xf>
    <xf numFmtId="2" fontId="3" fillId="32" borderId="30" xfId="0" applyNumberFormat="1" applyFont="1" applyFill="1" applyBorder="1" applyAlignment="1">
      <alignment horizontal="center" vertical="center"/>
    </xf>
    <xf numFmtId="2" fontId="3" fillId="32" borderId="31" xfId="0" applyNumberFormat="1" applyFont="1" applyFill="1" applyBorder="1" applyAlignment="1">
      <alignment horizontal="center" vertical="center"/>
    </xf>
    <xf numFmtId="2" fontId="3" fillId="32" borderId="35" xfId="0" applyNumberFormat="1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right" vertical="center" wrapText="1"/>
    </xf>
    <xf numFmtId="0" fontId="3" fillId="32" borderId="72" xfId="0" applyFont="1" applyFill="1" applyBorder="1" applyAlignment="1">
      <alignment vertical="center" wrapText="1"/>
    </xf>
    <xf numFmtId="0" fontId="3" fillId="32" borderId="72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vertical="center" wrapText="1"/>
    </xf>
    <xf numFmtId="2" fontId="3" fillId="32" borderId="32" xfId="0" applyNumberFormat="1" applyFont="1" applyFill="1" applyBorder="1" applyAlignment="1">
      <alignment horizontal="center" vertical="center"/>
    </xf>
    <xf numFmtId="2" fontId="3" fillId="32" borderId="54" xfId="0" applyNumberFormat="1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left" vertical="center" wrapText="1"/>
    </xf>
    <xf numFmtId="0" fontId="3" fillId="32" borderId="65" xfId="0" applyFont="1" applyFill="1" applyBorder="1" applyAlignment="1">
      <alignment vertical="center" wrapText="1"/>
    </xf>
    <xf numFmtId="0" fontId="3" fillId="32" borderId="65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vertical="center" wrapText="1"/>
    </xf>
    <xf numFmtId="2" fontId="3" fillId="32" borderId="26" xfId="0" applyNumberFormat="1" applyFont="1" applyFill="1" applyBorder="1" applyAlignment="1">
      <alignment horizontal="center" vertical="center"/>
    </xf>
    <xf numFmtId="2" fontId="3" fillId="32" borderId="24" xfId="0" applyNumberFormat="1" applyFont="1" applyFill="1" applyBorder="1" applyAlignment="1">
      <alignment horizontal="center" vertical="center"/>
    </xf>
    <xf numFmtId="2" fontId="3" fillId="32" borderId="50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vertical="center"/>
    </xf>
    <xf numFmtId="10" fontId="3" fillId="0" borderId="66" xfId="0" applyNumberFormat="1" applyFont="1" applyFill="1" applyBorder="1" applyAlignment="1">
      <alignment horizontal="center" wrapText="1"/>
    </xf>
    <xf numFmtId="2" fontId="3" fillId="0" borderId="66" xfId="0" applyNumberFormat="1" applyFont="1" applyFill="1" applyBorder="1" applyAlignment="1">
      <alignment horizontal="center" vertical="center" wrapText="1"/>
    </xf>
    <xf numFmtId="2" fontId="3" fillId="0" borderId="49" xfId="0" applyNumberFormat="1" applyFont="1" applyFill="1" applyBorder="1" applyAlignment="1">
      <alignment horizontal="center" wrapText="1"/>
    </xf>
    <xf numFmtId="2" fontId="3" fillId="0" borderId="66" xfId="0" applyNumberFormat="1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2" fontId="3" fillId="0" borderId="4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right" wrapText="1"/>
    </xf>
    <xf numFmtId="2" fontId="3" fillId="0" borderId="20" xfId="0" applyNumberFormat="1" applyFont="1" applyFill="1" applyBorder="1" applyAlignment="1">
      <alignment horizont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right" wrapText="1"/>
    </xf>
    <xf numFmtId="2" fontId="3" fillId="0" borderId="35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9" fontId="3" fillId="0" borderId="39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right" vertical="center" wrapText="1"/>
    </xf>
    <xf numFmtId="0" fontId="3" fillId="0" borderId="54" xfId="0" applyFont="1" applyFill="1" applyBorder="1" applyAlignment="1">
      <alignment horizontal="left" vertical="center" wrapText="1"/>
    </xf>
    <xf numFmtId="9" fontId="3" fillId="0" borderId="72" xfId="0" applyNumberFormat="1" applyFont="1" applyFill="1" applyBorder="1" applyAlignment="1">
      <alignment horizontal="center" wrapText="1"/>
    </xf>
    <xf numFmtId="2" fontId="3" fillId="0" borderId="54" xfId="0" applyNumberFormat="1" applyFont="1" applyFill="1" applyBorder="1" applyAlignment="1">
      <alignment horizontal="center" wrapText="1"/>
    </xf>
    <xf numFmtId="2" fontId="3" fillId="0" borderId="72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54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right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2" fontId="3" fillId="0" borderId="68" xfId="0" applyNumberFormat="1" applyFont="1" applyFill="1" applyBorder="1" applyAlignment="1">
      <alignment horizontal="center" vertical="center" wrapText="1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5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60" xfId="0" applyNumberFormat="1" applyFont="1" applyFill="1" applyBorder="1" applyAlignment="1">
      <alignment horizontal="center" vertical="center"/>
    </xf>
    <xf numFmtId="0" fontId="3" fillId="0" borderId="42" xfId="64" applyFont="1" applyFill="1" applyBorder="1" applyAlignment="1">
      <alignment vertical="center" wrapText="1"/>
      <protection/>
    </xf>
    <xf numFmtId="0" fontId="3" fillId="0" borderId="52" xfId="0" applyFont="1" applyFill="1" applyBorder="1" applyAlignment="1">
      <alignment horizontal="center" vertical="center" wrapText="1"/>
    </xf>
    <xf numFmtId="2" fontId="3" fillId="0" borderId="68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2" fontId="3" fillId="0" borderId="55" xfId="0" applyNumberFormat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wrapText="1"/>
    </xf>
    <xf numFmtId="0" fontId="3" fillId="0" borderId="39" xfId="0" applyFont="1" applyFill="1" applyBorder="1" applyAlignment="1">
      <alignment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2" fontId="3" fillId="0" borderId="71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2" fontId="3" fillId="0" borderId="61" xfId="0" applyNumberFormat="1" applyFont="1" applyFill="1" applyBorder="1" applyAlignment="1">
      <alignment horizontal="center" vertical="center" wrapText="1"/>
    </xf>
    <xf numFmtId="0" fontId="3" fillId="0" borderId="5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2" fontId="3" fillId="57" borderId="61" xfId="0" applyNumberFormat="1" applyFont="1" applyFill="1" applyBorder="1" applyAlignment="1">
      <alignment horizontal="center"/>
    </xf>
    <xf numFmtId="2" fontId="3" fillId="0" borderId="46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3" fillId="56" borderId="42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2" fontId="4" fillId="0" borderId="52" xfId="0" applyNumberFormat="1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/>
    </xf>
    <xf numFmtId="2" fontId="4" fillId="55" borderId="35" xfId="0" applyNumberFormat="1" applyFont="1" applyFill="1" applyBorder="1" applyAlignment="1">
      <alignment horizontal="center" vertical="center"/>
    </xf>
    <xf numFmtId="0" fontId="3" fillId="57" borderId="45" xfId="0" applyFont="1" applyFill="1" applyBorder="1" applyAlignment="1">
      <alignment horizontal="left" vertical="center" wrapText="1"/>
    </xf>
    <xf numFmtId="1" fontId="3" fillId="0" borderId="67" xfId="0" applyNumberFormat="1" applyFont="1" applyFill="1" applyBorder="1" applyAlignment="1">
      <alignment horizontal="center" vertical="center" wrapText="1"/>
    </xf>
    <xf numFmtId="2" fontId="3" fillId="0" borderId="63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right" vertical="center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/>
    </xf>
    <xf numFmtId="0" fontId="3" fillId="32" borderId="0" xfId="0" applyFont="1" applyFill="1" applyBorder="1" applyAlignment="1">
      <alignment vertical="center"/>
    </xf>
    <xf numFmtId="0" fontId="3" fillId="32" borderId="1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16" fontId="3" fillId="0" borderId="18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2" borderId="12" xfId="0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58" xfId="0" applyNumberFormat="1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/>
    </xf>
    <xf numFmtId="2" fontId="3" fillId="55" borderId="52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/>
    </xf>
    <xf numFmtId="2" fontId="4" fillId="32" borderId="0" xfId="0" applyNumberFormat="1" applyFont="1" applyFill="1" applyBorder="1" applyAlignment="1">
      <alignment horizontal="left" vertical="center"/>
    </xf>
    <xf numFmtId="2" fontId="3" fillId="0" borderId="35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 applyProtection="1">
      <alignment horizontal="center" vertical="center"/>
      <protection/>
    </xf>
    <xf numFmtId="2" fontId="20" fillId="0" borderId="0" xfId="42" applyNumberFormat="1" applyFont="1" applyFill="1" applyBorder="1" applyAlignment="1" applyProtection="1">
      <alignment horizontal="center" vertical="center"/>
      <protection/>
    </xf>
    <xf numFmtId="2" fontId="17" fillId="0" borderId="1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wrapText="1"/>
    </xf>
    <xf numFmtId="0" fontId="4" fillId="32" borderId="0" xfId="0" applyFont="1" applyFill="1" applyBorder="1" applyAlignment="1">
      <alignment/>
    </xf>
    <xf numFmtId="1" fontId="4" fillId="0" borderId="0" xfId="59" applyNumberFormat="1" applyFont="1" applyFill="1" applyBorder="1" applyAlignment="1">
      <alignment horizontal="center" vertical="center"/>
      <protection/>
    </xf>
    <xf numFmtId="1" fontId="15" fillId="0" borderId="0" xfId="0" applyNumberFormat="1" applyFont="1" applyFill="1" applyBorder="1" applyAlignment="1">
      <alignment horizontal="center"/>
    </xf>
    <xf numFmtId="4" fontId="4" fillId="32" borderId="0" xfId="64" applyNumberFormat="1" applyFont="1" applyFill="1" applyBorder="1" applyAlignment="1">
      <alignment horizontal="center" vertical="center"/>
      <protection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left"/>
    </xf>
    <xf numFmtId="2" fontId="18" fillId="32" borderId="0" xfId="0" applyNumberFormat="1" applyFont="1" applyFill="1" applyBorder="1" applyAlignment="1">
      <alignment horizontal="center"/>
    </xf>
    <xf numFmtId="0" fontId="17" fillId="32" borderId="73" xfId="0" applyFont="1" applyFill="1" applyBorder="1" applyAlignment="1">
      <alignment horizontal="center" vertical="center" textRotation="90" wrapText="1"/>
    </xf>
    <xf numFmtId="0" fontId="17" fillId="32" borderId="74" xfId="0" applyFont="1" applyFill="1" applyBorder="1" applyAlignment="1">
      <alignment horizontal="center" vertical="center" textRotation="90" wrapText="1"/>
    </xf>
    <xf numFmtId="0" fontId="18" fillId="32" borderId="75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/>
    </xf>
    <xf numFmtId="0" fontId="17" fillId="32" borderId="76" xfId="0" applyFont="1" applyFill="1" applyBorder="1" applyAlignment="1">
      <alignment horizontal="center" vertical="center" textRotation="90" wrapText="1"/>
    </xf>
    <xf numFmtId="0" fontId="17" fillId="32" borderId="77" xfId="0" applyFont="1" applyFill="1" applyBorder="1" applyAlignment="1">
      <alignment horizontal="center" vertical="center" textRotation="90" wrapText="1"/>
    </xf>
    <xf numFmtId="0" fontId="17" fillId="32" borderId="78" xfId="0" applyFont="1" applyFill="1" applyBorder="1" applyAlignment="1">
      <alignment horizontal="center" vertical="center" textRotation="90" wrapText="1"/>
    </xf>
    <xf numFmtId="0" fontId="17" fillId="32" borderId="79" xfId="0" applyFont="1" applyFill="1" applyBorder="1" applyAlignment="1">
      <alignment horizontal="center" vertical="center" textRotation="90" wrapText="1"/>
    </xf>
    <xf numFmtId="2" fontId="17" fillId="32" borderId="80" xfId="0" applyNumberFormat="1" applyFont="1" applyFill="1" applyBorder="1" applyAlignment="1">
      <alignment horizontal="center" vertical="center" wrapText="1"/>
    </xf>
    <xf numFmtId="2" fontId="17" fillId="32" borderId="18" xfId="0" applyNumberFormat="1" applyFont="1" applyFill="1" applyBorder="1" applyAlignment="1">
      <alignment horizontal="center" vertical="center" wrapText="1"/>
    </xf>
    <xf numFmtId="2" fontId="17" fillId="32" borderId="51" xfId="0" applyNumberFormat="1" applyFont="1" applyFill="1" applyBorder="1" applyAlignment="1">
      <alignment horizontal="center" vertical="center" wrapText="1"/>
    </xf>
    <xf numFmtId="2" fontId="18" fillId="32" borderId="8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2" fontId="17" fillId="32" borderId="24" xfId="0" applyNumberFormat="1" applyFont="1" applyFill="1" applyBorder="1" applyAlignment="1">
      <alignment horizontal="center" vertical="center" wrapText="1"/>
    </xf>
    <xf numFmtId="2" fontId="17" fillId="32" borderId="81" xfId="0" applyNumberFormat="1" applyFont="1" applyFill="1" applyBorder="1" applyAlignment="1">
      <alignment horizontal="center" vertical="center" wrapText="1"/>
    </xf>
    <xf numFmtId="2" fontId="17" fillId="32" borderId="82" xfId="0" applyNumberFormat="1" applyFont="1" applyFill="1" applyBorder="1" applyAlignment="1">
      <alignment horizontal="center" vertical="center" wrapText="1"/>
    </xf>
    <xf numFmtId="2" fontId="17" fillId="32" borderId="22" xfId="0" applyNumberFormat="1" applyFont="1" applyFill="1" applyBorder="1" applyAlignment="1">
      <alignment horizontal="center" vertical="center" wrapText="1"/>
    </xf>
    <xf numFmtId="2" fontId="17" fillId="32" borderId="50" xfId="0" applyNumberFormat="1" applyFont="1" applyFill="1" applyBorder="1" applyAlignment="1">
      <alignment horizontal="center" vertical="center" wrapText="1"/>
    </xf>
    <xf numFmtId="0" fontId="18" fillId="32" borderId="68" xfId="0" applyFont="1" applyFill="1" applyBorder="1" applyAlignment="1">
      <alignment horizontal="center" vertical="center"/>
    </xf>
    <xf numFmtId="0" fontId="18" fillId="32" borderId="83" xfId="0" applyFont="1" applyFill="1" applyBorder="1" applyAlignment="1">
      <alignment horizontal="center" vertical="center"/>
    </xf>
    <xf numFmtId="0" fontId="3" fillId="32" borderId="81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4" fillId="32" borderId="84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32" borderId="44" xfId="0" applyFont="1" applyFill="1" applyBorder="1" applyAlignment="1">
      <alignment horizontal="center"/>
    </xf>
    <xf numFmtId="0" fontId="4" fillId="32" borderId="84" xfId="0" applyFont="1" applyFill="1" applyBorder="1" applyAlignment="1">
      <alignment horizontal="center" textRotation="90"/>
    </xf>
    <xf numFmtId="0" fontId="4" fillId="32" borderId="16" xfId="0" applyFont="1" applyFill="1" applyBorder="1" applyAlignment="1">
      <alignment horizontal="center" textRotation="90"/>
    </xf>
    <xf numFmtId="0" fontId="4" fillId="32" borderId="44" xfId="0" applyFont="1" applyFill="1" applyBorder="1" applyAlignment="1">
      <alignment horizontal="center" textRotation="90"/>
    </xf>
    <xf numFmtId="0" fontId="4" fillId="32" borderId="85" xfId="0" applyFont="1" applyFill="1" applyBorder="1" applyAlignment="1">
      <alignment horizontal="center" textRotation="90"/>
    </xf>
    <xf numFmtId="0" fontId="4" fillId="32" borderId="17" xfId="0" applyFont="1" applyFill="1" applyBorder="1" applyAlignment="1">
      <alignment horizontal="center" textRotation="90"/>
    </xf>
    <xf numFmtId="0" fontId="4" fillId="32" borderId="45" xfId="0" applyFont="1" applyFill="1" applyBorder="1" applyAlignment="1">
      <alignment horizontal="center" textRotation="90"/>
    </xf>
    <xf numFmtId="0" fontId="3" fillId="32" borderId="43" xfId="0" applyFont="1" applyFill="1" applyBorder="1" applyAlignment="1">
      <alignment horizontal="center"/>
    </xf>
    <xf numFmtId="0" fontId="3" fillId="32" borderId="68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wrapText="1"/>
    </xf>
    <xf numFmtId="0" fontId="4" fillId="32" borderId="86" xfId="0" applyFont="1" applyFill="1" applyBorder="1" applyAlignment="1">
      <alignment horizontal="center" vertical="center"/>
    </xf>
    <xf numFmtId="0" fontId="4" fillId="32" borderId="75" xfId="0" applyFont="1" applyFill="1" applyBorder="1" applyAlignment="1">
      <alignment horizontal="center" vertical="center"/>
    </xf>
    <xf numFmtId="0" fontId="4" fillId="32" borderId="87" xfId="0" applyFont="1" applyFill="1" applyBorder="1" applyAlignment="1">
      <alignment horizontal="center" vertical="center"/>
    </xf>
    <xf numFmtId="0" fontId="3" fillId="32" borderId="78" xfId="0" applyFont="1" applyFill="1" applyBorder="1" applyAlignment="1">
      <alignment horizontal="center" vertical="center" textRotation="90" wrapText="1"/>
    </xf>
    <xf numFmtId="0" fontId="3" fillId="32" borderId="79" xfId="0" applyFont="1" applyFill="1" applyBorder="1" applyAlignment="1">
      <alignment horizontal="center" vertical="center" textRotation="90" wrapText="1"/>
    </xf>
    <xf numFmtId="0" fontId="3" fillId="32" borderId="73" xfId="0" applyFont="1" applyFill="1" applyBorder="1" applyAlignment="1">
      <alignment horizontal="center" vertical="center" textRotation="90" wrapText="1"/>
    </xf>
    <xf numFmtId="0" fontId="3" fillId="32" borderId="74" xfId="0" applyFont="1" applyFill="1" applyBorder="1" applyAlignment="1">
      <alignment horizontal="center" vertical="center" textRotation="90" wrapText="1"/>
    </xf>
    <xf numFmtId="0" fontId="3" fillId="32" borderId="85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45" xfId="0" applyFont="1" applyFill="1" applyBorder="1" applyAlignment="1">
      <alignment horizontal="center" vertical="center"/>
    </xf>
    <xf numFmtId="0" fontId="3" fillId="32" borderId="84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88" xfId="0" applyFont="1" applyFill="1" applyBorder="1" applyAlignment="1">
      <alignment horizontal="center" vertical="center" textRotation="90"/>
    </xf>
    <xf numFmtId="0" fontId="3" fillId="32" borderId="72" xfId="0" applyFont="1" applyFill="1" applyBorder="1" applyAlignment="1">
      <alignment horizontal="center" vertical="center" textRotation="90"/>
    </xf>
    <xf numFmtId="0" fontId="3" fillId="32" borderId="67" xfId="0" applyFont="1" applyFill="1" applyBorder="1" applyAlignment="1">
      <alignment horizontal="center" vertical="center" textRotation="90"/>
    </xf>
    <xf numFmtId="0" fontId="3" fillId="32" borderId="89" xfId="0" applyFont="1" applyFill="1" applyBorder="1" applyAlignment="1">
      <alignment horizontal="center" vertical="center" textRotation="90"/>
    </xf>
    <xf numFmtId="0" fontId="3" fillId="32" borderId="0" xfId="0" applyFont="1" applyFill="1" applyBorder="1" applyAlignment="1">
      <alignment horizontal="center" vertical="center" textRotation="90"/>
    </xf>
    <xf numFmtId="0" fontId="3" fillId="32" borderId="12" xfId="0" applyFont="1" applyFill="1" applyBorder="1" applyAlignment="1">
      <alignment horizontal="center" vertical="center" textRotation="90"/>
    </xf>
    <xf numFmtId="0" fontId="6" fillId="32" borderId="90" xfId="0" applyFont="1" applyFill="1" applyBorder="1" applyAlignment="1">
      <alignment horizontal="center" textRotation="90" wrapText="1"/>
    </xf>
    <xf numFmtId="0" fontId="6" fillId="32" borderId="91" xfId="0" applyFont="1" applyFill="1" applyBorder="1" applyAlignment="1">
      <alignment horizontal="center" textRotation="90" wrapText="1"/>
    </xf>
    <xf numFmtId="0" fontId="6" fillId="32" borderId="92" xfId="0" applyFont="1" applyFill="1" applyBorder="1" applyAlignment="1">
      <alignment horizontal="center" textRotation="90" wrapText="1"/>
    </xf>
    <xf numFmtId="4" fontId="3" fillId="32" borderId="93" xfId="59" applyNumberFormat="1" applyFont="1" applyFill="1" applyBorder="1" applyAlignment="1">
      <alignment horizontal="center" vertical="center" textRotation="90" wrapText="1"/>
      <protection/>
    </xf>
    <xf numFmtId="4" fontId="3" fillId="32" borderId="63" xfId="59" applyNumberFormat="1" applyFont="1" applyFill="1" applyBorder="1" applyAlignment="1">
      <alignment horizontal="center" vertical="center" textRotation="90" wrapText="1"/>
      <protection/>
    </xf>
    <xf numFmtId="4" fontId="3" fillId="32" borderId="88" xfId="59" applyNumberFormat="1" applyFont="1" applyFill="1" applyBorder="1" applyAlignment="1">
      <alignment horizontal="center" vertical="center" textRotation="90" wrapText="1"/>
      <protection/>
    </xf>
    <xf numFmtId="4" fontId="3" fillId="32" borderId="67" xfId="59" applyNumberFormat="1" applyFont="1" applyFill="1" applyBorder="1" applyAlignment="1">
      <alignment horizontal="center" vertical="center" textRotation="90" wrapText="1"/>
      <protection/>
    </xf>
    <xf numFmtId="4" fontId="3" fillId="32" borderId="90" xfId="59" applyNumberFormat="1" applyFont="1" applyFill="1" applyBorder="1" applyAlignment="1">
      <alignment horizontal="center" vertical="center" textRotation="90" wrapText="1"/>
      <protection/>
    </xf>
    <xf numFmtId="4" fontId="3" fillId="32" borderId="92" xfId="59" applyNumberFormat="1" applyFont="1" applyFill="1" applyBorder="1" applyAlignment="1">
      <alignment horizontal="center" vertical="center" textRotation="90" wrapText="1"/>
      <protection/>
    </xf>
    <xf numFmtId="4" fontId="3" fillId="32" borderId="94" xfId="59" applyNumberFormat="1" applyFont="1" applyFill="1" applyBorder="1" applyAlignment="1">
      <alignment horizontal="center" vertical="center" textRotation="90" wrapText="1"/>
      <protection/>
    </xf>
    <xf numFmtId="4" fontId="3" fillId="32" borderId="95" xfId="59" applyNumberFormat="1" applyFont="1" applyFill="1" applyBorder="1" applyAlignment="1">
      <alignment horizontal="center" vertical="center" textRotation="90" wrapText="1"/>
      <protection/>
    </xf>
    <xf numFmtId="4" fontId="4" fillId="32" borderId="68" xfId="59" applyNumberFormat="1" applyFont="1" applyFill="1" applyBorder="1" applyAlignment="1">
      <alignment horizontal="center" vertical="center" wrapText="1"/>
      <protection/>
    </xf>
    <xf numFmtId="4" fontId="4" fillId="32" borderId="37" xfId="59" applyNumberFormat="1" applyFont="1" applyFill="1" applyBorder="1" applyAlignment="1">
      <alignment horizontal="center" vertical="center" wrapText="1"/>
      <protection/>
    </xf>
    <xf numFmtId="2" fontId="4" fillId="32" borderId="0" xfId="0" applyNumberFormat="1" applyFont="1" applyFill="1" applyBorder="1" applyAlignment="1">
      <alignment horizontal="center"/>
    </xf>
    <xf numFmtId="0" fontId="3" fillId="32" borderId="71" xfId="0" applyFont="1" applyFill="1" applyBorder="1" applyAlignment="1">
      <alignment horizontal="center"/>
    </xf>
    <xf numFmtId="0" fontId="3" fillId="32" borderId="0" xfId="60" applyFont="1" applyFill="1" applyBorder="1" applyAlignment="1">
      <alignment horizontal="center"/>
      <protection/>
    </xf>
    <xf numFmtId="0" fontId="3" fillId="32" borderId="76" xfId="0" applyFont="1" applyFill="1" applyBorder="1" applyAlignment="1">
      <alignment horizontal="center" vertical="center" textRotation="90" wrapText="1"/>
    </xf>
    <xf numFmtId="0" fontId="3" fillId="32" borderId="77" xfId="0" applyFont="1" applyFill="1" applyBorder="1" applyAlignment="1">
      <alignment horizontal="center" vertical="center" textRotation="90" wrapText="1"/>
    </xf>
    <xf numFmtId="0" fontId="3" fillId="32" borderId="96" xfId="0" applyFont="1" applyFill="1" applyBorder="1" applyAlignment="1">
      <alignment horizontal="center" vertical="center" textRotation="90" wrapText="1"/>
    </xf>
    <xf numFmtId="0" fontId="3" fillId="32" borderId="97" xfId="0" applyFont="1" applyFill="1" applyBorder="1" applyAlignment="1">
      <alignment horizontal="center" vertical="center" textRotation="90" wrapText="1"/>
    </xf>
    <xf numFmtId="0" fontId="4" fillId="32" borderId="68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/>
    </xf>
    <xf numFmtId="0" fontId="6" fillId="32" borderId="68" xfId="0" applyFont="1" applyFill="1" applyBorder="1" applyAlignment="1">
      <alignment horizontal="center" wrapText="1"/>
    </xf>
    <xf numFmtId="0" fontId="6" fillId="32" borderId="37" xfId="0" applyFont="1" applyFill="1" applyBorder="1" applyAlignment="1">
      <alignment horizont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32" borderId="98" xfId="0" applyFont="1" applyFill="1" applyBorder="1" applyAlignment="1">
      <alignment horizontal="center" vertical="center" textRotation="90" wrapText="1"/>
    </xf>
    <xf numFmtId="0" fontId="3" fillId="32" borderId="99" xfId="0" applyFont="1" applyFill="1" applyBorder="1" applyAlignment="1">
      <alignment horizontal="center" vertical="center" textRotation="90" wrapText="1"/>
    </xf>
    <xf numFmtId="4" fontId="3" fillId="32" borderId="100" xfId="59" applyNumberFormat="1" applyFont="1" applyFill="1" applyBorder="1" applyAlignment="1">
      <alignment horizontal="center" vertical="center" textRotation="90" wrapText="1"/>
      <protection/>
    </xf>
    <xf numFmtId="4" fontId="3" fillId="32" borderId="101" xfId="59" applyNumberFormat="1" applyFont="1" applyFill="1" applyBorder="1" applyAlignment="1">
      <alignment horizontal="center" vertical="center" textRotation="90" wrapText="1"/>
      <protection/>
    </xf>
    <xf numFmtId="2" fontId="3" fillId="0" borderId="17" xfId="0" applyNumberFormat="1" applyFont="1" applyFill="1" applyBorder="1" applyAlignment="1">
      <alignment horizontal="center" wrapText="1"/>
    </xf>
    <xf numFmtId="2" fontId="3" fillId="0" borderId="42" xfId="0" applyNumberFormat="1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wrapText="1"/>
    </xf>
    <xf numFmtId="2" fontId="3" fillId="0" borderId="15" xfId="0" applyNumberFormat="1" applyFont="1" applyFill="1" applyBorder="1" applyAlignment="1">
      <alignment horizontal="center"/>
    </xf>
    <xf numFmtId="0" fontId="3" fillId="32" borderId="102" xfId="0" applyFont="1" applyFill="1" applyBorder="1" applyAlignment="1">
      <alignment horizontal="center" vertical="center"/>
    </xf>
    <xf numFmtId="0" fontId="3" fillId="32" borderId="93" xfId="0" applyFont="1" applyFill="1" applyBorder="1" applyAlignment="1">
      <alignment horizontal="center" vertical="center"/>
    </xf>
    <xf numFmtId="0" fontId="3" fillId="32" borderId="103" xfId="0" applyFont="1" applyFill="1" applyBorder="1" applyAlignment="1">
      <alignment horizontal="center" vertical="center"/>
    </xf>
    <xf numFmtId="0" fontId="3" fillId="32" borderId="104" xfId="0" applyFont="1" applyFill="1" applyBorder="1" applyAlignment="1">
      <alignment horizontal="center" vertical="center"/>
    </xf>
    <xf numFmtId="0" fontId="3" fillId="32" borderId="105" xfId="0" applyFont="1" applyFill="1" applyBorder="1" applyAlignment="1">
      <alignment horizontal="center" vertical="center"/>
    </xf>
    <xf numFmtId="0" fontId="3" fillId="32" borderId="63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2" borderId="93" xfId="0" applyFont="1" applyFill="1" applyBorder="1" applyAlignment="1">
      <alignment horizontal="center" textRotation="90"/>
    </xf>
    <xf numFmtId="0" fontId="3" fillId="32" borderId="104" xfId="0" applyFont="1" applyFill="1" applyBorder="1" applyAlignment="1">
      <alignment horizontal="center" textRotation="90"/>
    </xf>
    <xf numFmtId="0" fontId="3" fillId="32" borderId="63" xfId="0" applyFont="1" applyFill="1" applyBorder="1" applyAlignment="1">
      <alignment horizontal="center" textRotation="90"/>
    </xf>
    <xf numFmtId="4" fontId="4" fillId="32" borderId="0" xfId="59" applyNumberFormat="1" applyFont="1" applyFill="1" applyBorder="1" applyAlignment="1">
      <alignment horizontal="center" vertical="center" wrapText="1"/>
      <protection/>
    </xf>
    <xf numFmtId="0" fontId="6" fillId="32" borderId="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 textRotation="90" wrapText="1"/>
    </xf>
    <xf numFmtId="4" fontId="3" fillId="32" borderId="0" xfId="59" applyNumberFormat="1" applyFont="1" applyFill="1" applyBorder="1" applyAlignment="1">
      <alignment horizontal="center" vertical="center" textRotation="90" wrapText="1"/>
      <protection/>
    </xf>
    <xf numFmtId="0" fontId="38" fillId="32" borderId="0" xfId="0" applyFont="1" applyFill="1" applyBorder="1" applyAlignment="1">
      <alignment vertical="center"/>
    </xf>
    <xf numFmtId="0" fontId="38" fillId="32" borderId="0" xfId="0" applyFont="1" applyFill="1" applyAlignment="1">
      <alignment/>
    </xf>
    <xf numFmtId="0" fontId="38" fillId="32" borderId="0" xfId="0" applyFont="1" applyFill="1" applyBorder="1" applyAlignment="1">
      <alignment/>
    </xf>
    <xf numFmtId="0" fontId="38" fillId="32" borderId="0" xfId="0" applyFont="1" applyFill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0" xfId="54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 applyProtection="1">
      <alignment horizontal="left" vertical="center" wrapText="1"/>
      <protection/>
    </xf>
    <xf numFmtId="2" fontId="17" fillId="0" borderId="10" xfId="0" applyNumberFormat="1" applyFont="1" applyFill="1" applyBorder="1" applyAlignment="1" applyProtection="1">
      <alignment horizontal="center" vertical="center"/>
      <protection/>
    </xf>
    <xf numFmtId="2" fontId="17" fillId="0" borderId="10" xfId="42" applyNumberFormat="1" applyFont="1" applyFill="1" applyBorder="1" applyAlignment="1" applyProtection="1">
      <alignment horizontal="center" vertical="center"/>
      <protection/>
    </xf>
    <xf numFmtId="2" fontId="17" fillId="0" borderId="10" xfId="0" applyNumberFormat="1" applyFont="1" applyFill="1" applyBorder="1" applyAlignment="1" applyProtection="1">
      <alignment horizontal="left" vertical="center"/>
      <protection/>
    </xf>
    <xf numFmtId="1" fontId="17" fillId="0" borderId="10" xfId="42" applyNumberFormat="1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Kopmitnes" xfId="59"/>
    <cellStyle name="Normal_TAME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2" name="Text Box 6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3" name="Text Box 7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4" name="Text Box 8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5" name="Text Box 9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6" name="Text Box 10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7" name="Text Box 11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8" name="Text Box 12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9" name="Text Box 13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10" name="Text Box 6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11" name="Text Box 7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12" name="Text Box 8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13" name="Text Box 9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14" name="Text Box 10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15" name="Text Box 11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16" name="Text Box 12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17" name="Text Box 13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128</xdr:row>
      <xdr:rowOff>0</xdr:rowOff>
    </xdr:from>
    <xdr:ext cx="85725" cy="133350"/>
    <xdr:sp fLocksText="0">
      <xdr:nvSpPr>
        <xdr:cNvPr id="21" name="Text Box 6"/>
        <xdr:cNvSpPr txBox="1">
          <a:spLocks noChangeArrowheads="1"/>
        </xdr:cNvSpPr>
      </xdr:nvSpPr>
      <xdr:spPr>
        <a:xfrm>
          <a:off x="0" y="246221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85725" cy="133350"/>
    <xdr:sp fLocksText="0">
      <xdr:nvSpPr>
        <xdr:cNvPr id="22" name="Text Box 7"/>
        <xdr:cNvSpPr txBox="1">
          <a:spLocks noChangeArrowheads="1"/>
        </xdr:cNvSpPr>
      </xdr:nvSpPr>
      <xdr:spPr>
        <a:xfrm>
          <a:off x="0" y="246221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85725" cy="133350"/>
    <xdr:sp fLocksText="0">
      <xdr:nvSpPr>
        <xdr:cNvPr id="23" name="Text Box 8"/>
        <xdr:cNvSpPr txBox="1">
          <a:spLocks noChangeArrowheads="1"/>
        </xdr:cNvSpPr>
      </xdr:nvSpPr>
      <xdr:spPr>
        <a:xfrm>
          <a:off x="0" y="246221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85725" cy="133350"/>
    <xdr:sp fLocksText="0">
      <xdr:nvSpPr>
        <xdr:cNvPr id="24" name="Text Box 9"/>
        <xdr:cNvSpPr txBox="1">
          <a:spLocks noChangeArrowheads="1"/>
        </xdr:cNvSpPr>
      </xdr:nvSpPr>
      <xdr:spPr>
        <a:xfrm>
          <a:off x="0" y="246221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85725" cy="133350"/>
    <xdr:sp fLocksText="0">
      <xdr:nvSpPr>
        <xdr:cNvPr id="25" name="Text Box 10"/>
        <xdr:cNvSpPr txBox="1">
          <a:spLocks noChangeArrowheads="1"/>
        </xdr:cNvSpPr>
      </xdr:nvSpPr>
      <xdr:spPr>
        <a:xfrm>
          <a:off x="0" y="246221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85725" cy="133350"/>
    <xdr:sp fLocksText="0">
      <xdr:nvSpPr>
        <xdr:cNvPr id="26" name="Text Box 11"/>
        <xdr:cNvSpPr txBox="1">
          <a:spLocks noChangeArrowheads="1"/>
        </xdr:cNvSpPr>
      </xdr:nvSpPr>
      <xdr:spPr>
        <a:xfrm>
          <a:off x="0" y="246221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85725" cy="133350"/>
    <xdr:sp fLocksText="0">
      <xdr:nvSpPr>
        <xdr:cNvPr id="27" name="Text Box 12"/>
        <xdr:cNvSpPr txBox="1">
          <a:spLocks noChangeArrowheads="1"/>
        </xdr:cNvSpPr>
      </xdr:nvSpPr>
      <xdr:spPr>
        <a:xfrm>
          <a:off x="0" y="246221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85725" cy="133350"/>
    <xdr:sp fLocksText="0">
      <xdr:nvSpPr>
        <xdr:cNvPr id="28" name="Text Box 13"/>
        <xdr:cNvSpPr txBox="1">
          <a:spLocks noChangeArrowheads="1"/>
        </xdr:cNvSpPr>
      </xdr:nvSpPr>
      <xdr:spPr>
        <a:xfrm>
          <a:off x="0" y="246221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85725" cy="133350"/>
    <xdr:sp fLocksText="0">
      <xdr:nvSpPr>
        <xdr:cNvPr id="29" name="Text Box 6"/>
        <xdr:cNvSpPr txBox="1">
          <a:spLocks noChangeArrowheads="1"/>
        </xdr:cNvSpPr>
      </xdr:nvSpPr>
      <xdr:spPr>
        <a:xfrm>
          <a:off x="0" y="246221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85725" cy="133350"/>
    <xdr:sp fLocksText="0">
      <xdr:nvSpPr>
        <xdr:cNvPr id="30" name="Text Box 7"/>
        <xdr:cNvSpPr txBox="1">
          <a:spLocks noChangeArrowheads="1"/>
        </xdr:cNvSpPr>
      </xdr:nvSpPr>
      <xdr:spPr>
        <a:xfrm>
          <a:off x="0" y="246221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85725" cy="133350"/>
    <xdr:sp fLocksText="0">
      <xdr:nvSpPr>
        <xdr:cNvPr id="31" name="Text Box 8"/>
        <xdr:cNvSpPr txBox="1">
          <a:spLocks noChangeArrowheads="1"/>
        </xdr:cNvSpPr>
      </xdr:nvSpPr>
      <xdr:spPr>
        <a:xfrm>
          <a:off x="0" y="246221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85725" cy="133350"/>
    <xdr:sp fLocksText="0">
      <xdr:nvSpPr>
        <xdr:cNvPr id="32" name="Text Box 9"/>
        <xdr:cNvSpPr txBox="1">
          <a:spLocks noChangeArrowheads="1"/>
        </xdr:cNvSpPr>
      </xdr:nvSpPr>
      <xdr:spPr>
        <a:xfrm>
          <a:off x="0" y="246221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85725" cy="133350"/>
    <xdr:sp fLocksText="0">
      <xdr:nvSpPr>
        <xdr:cNvPr id="33" name="Text Box 10"/>
        <xdr:cNvSpPr txBox="1">
          <a:spLocks noChangeArrowheads="1"/>
        </xdr:cNvSpPr>
      </xdr:nvSpPr>
      <xdr:spPr>
        <a:xfrm>
          <a:off x="0" y="246221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85725" cy="133350"/>
    <xdr:sp fLocksText="0">
      <xdr:nvSpPr>
        <xdr:cNvPr id="34" name="Text Box 11"/>
        <xdr:cNvSpPr txBox="1">
          <a:spLocks noChangeArrowheads="1"/>
        </xdr:cNvSpPr>
      </xdr:nvSpPr>
      <xdr:spPr>
        <a:xfrm>
          <a:off x="0" y="246221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85725" cy="133350"/>
    <xdr:sp fLocksText="0">
      <xdr:nvSpPr>
        <xdr:cNvPr id="35" name="Text Box 12"/>
        <xdr:cNvSpPr txBox="1">
          <a:spLocks noChangeArrowheads="1"/>
        </xdr:cNvSpPr>
      </xdr:nvSpPr>
      <xdr:spPr>
        <a:xfrm>
          <a:off x="0" y="246221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85725" cy="133350"/>
    <xdr:sp fLocksText="0">
      <xdr:nvSpPr>
        <xdr:cNvPr id="36" name="Text Box 13"/>
        <xdr:cNvSpPr txBox="1">
          <a:spLocks noChangeArrowheads="1"/>
        </xdr:cNvSpPr>
      </xdr:nvSpPr>
      <xdr:spPr>
        <a:xfrm>
          <a:off x="0" y="246221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39" name="Text Box 6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40" name="Text Box 7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41" name="Text Box 8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42" name="Text Box 9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43" name="Text Box 10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44" name="Text Box 11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45" name="Text Box 12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46" name="Text Box 13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47" name="Text Box 6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48" name="Text Box 7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49" name="Text Box 8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50" name="Text Box 9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51" name="Text Box 10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52" name="Text Box 11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53" name="Text Box 12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85725" cy="133350"/>
    <xdr:sp fLocksText="0">
      <xdr:nvSpPr>
        <xdr:cNvPr id="54" name="Text Box 13"/>
        <xdr:cNvSpPr txBox="1">
          <a:spLocks noChangeArrowheads="1"/>
        </xdr:cNvSpPr>
      </xdr:nvSpPr>
      <xdr:spPr>
        <a:xfrm>
          <a:off x="0" y="2073592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59</xdr:row>
      <xdr:rowOff>0</xdr:rowOff>
    </xdr:from>
    <xdr:ext cx="85725" cy="161925"/>
    <xdr:sp fLocksText="0">
      <xdr:nvSpPr>
        <xdr:cNvPr id="55" name="Text Box 6"/>
        <xdr:cNvSpPr txBox="1">
          <a:spLocks noChangeArrowheads="1"/>
        </xdr:cNvSpPr>
      </xdr:nvSpPr>
      <xdr:spPr>
        <a:xfrm>
          <a:off x="1438275" y="13592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59</xdr:row>
      <xdr:rowOff>0</xdr:rowOff>
    </xdr:from>
    <xdr:ext cx="85725" cy="161925"/>
    <xdr:sp fLocksText="0">
      <xdr:nvSpPr>
        <xdr:cNvPr id="56" name="Text Box 7"/>
        <xdr:cNvSpPr txBox="1">
          <a:spLocks noChangeArrowheads="1"/>
        </xdr:cNvSpPr>
      </xdr:nvSpPr>
      <xdr:spPr>
        <a:xfrm>
          <a:off x="1438275" y="13592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59</xdr:row>
      <xdr:rowOff>0</xdr:rowOff>
    </xdr:from>
    <xdr:ext cx="85725" cy="161925"/>
    <xdr:sp fLocksText="0">
      <xdr:nvSpPr>
        <xdr:cNvPr id="57" name="Text Box 8"/>
        <xdr:cNvSpPr txBox="1">
          <a:spLocks noChangeArrowheads="1"/>
        </xdr:cNvSpPr>
      </xdr:nvSpPr>
      <xdr:spPr>
        <a:xfrm>
          <a:off x="1438275" y="13592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59</xdr:row>
      <xdr:rowOff>0</xdr:rowOff>
    </xdr:from>
    <xdr:ext cx="85725" cy="161925"/>
    <xdr:sp fLocksText="0">
      <xdr:nvSpPr>
        <xdr:cNvPr id="58" name="Text Box 9"/>
        <xdr:cNvSpPr txBox="1">
          <a:spLocks noChangeArrowheads="1"/>
        </xdr:cNvSpPr>
      </xdr:nvSpPr>
      <xdr:spPr>
        <a:xfrm>
          <a:off x="1438275" y="13592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59</xdr:row>
      <xdr:rowOff>0</xdr:rowOff>
    </xdr:from>
    <xdr:ext cx="85725" cy="161925"/>
    <xdr:sp fLocksText="0">
      <xdr:nvSpPr>
        <xdr:cNvPr id="59" name="Text Box 10"/>
        <xdr:cNvSpPr txBox="1">
          <a:spLocks noChangeArrowheads="1"/>
        </xdr:cNvSpPr>
      </xdr:nvSpPr>
      <xdr:spPr>
        <a:xfrm>
          <a:off x="1438275" y="13592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59</xdr:row>
      <xdr:rowOff>0</xdr:rowOff>
    </xdr:from>
    <xdr:ext cx="85725" cy="161925"/>
    <xdr:sp fLocksText="0">
      <xdr:nvSpPr>
        <xdr:cNvPr id="60" name="Text Box 11"/>
        <xdr:cNvSpPr txBox="1">
          <a:spLocks noChangeArrowheads="1"/>
        </xdr:cNvSpPr>
      </xdr:nvSpPr>
      <xdr:spPr>
        <a:xfrm>
          <a:off x="1438275" y="13592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59</xdr:row>
      <xdr:rowOff>0</xdr:rowOff>
    </xdr:from>
    <xdr:ext cx="85725" cy="161925"/>
    <xdr:sp fLocksText="0">
      <xdr:nvSpPr>
        <xdr:cNvPr id="61" name="Text Box 12"/>
        <xdr:cNvSpPr txBox="1">
          <a:spLocks noChangeArrowheads="1"/>
        </xdr:cNvSpPr>
      </xdr:nvSpPr>
      <xdr:spPr>
        <a:xfrm>
          <a:off x="1438275" y="13592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59</xdr:row>
      <xdr:rowOff>0</xdr:rowOff>
    </xdr:from>
    <xdr:ext cx="85725" cy="161925"/>
    <xdr:sp fLocksText="0">
      <xdr:nvSpPr>
        <xdr:cNvPr id="62" name="Text Box 13"/>
        <xdr:cNvSpPr txBox="1">
          <a:spLocks noChangeArrowheads="1"/>
        </xdr:cNvSpPr>
      </xdr:nvSpPr>
      <xdr:spPr>
        <a:xfrm>
          <a:off x="1438275" y="13592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59</xdr:row>
      <xdr:rowOff>0</xdr:rowOff>
    </xdr:from>
    <xdr:ext cx="85725" cy="161925"/>
    <xdr:sp fLocksText="0">
      <xdr:nvSpPr>
        <xdr:cNvPr id="63" name="Text Box 6"/>
        <xdr:cNvSpPr txBox="1">
          <a:spLocks noChangeArrowheads="1"/>
        </xdr:cNvSpPr>
      </xdr:nvSpPr>
      <xdr:spPr>
        <a:xfrm>
          <a:off x="1438275" y="13592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59</xdr:row>
      <xdr:rowOff>0</xdr:rowOff>
    </xdr:from>
    <xdr:ext cx="85725" cy="161925"/>
    <xdr:sp fLocksText="0">
      <xdr:nvSpPr>
        <xdr:cNvPr id="64" name="Text Box 7"/>
        <xdr:cNvSpPr txBox="1">
          <a:spLocks noChangeArrowheads="1"/>
        </xdr:cNvSpPr>
      </xdr:nvSpPr>
      <xdr:spPr>
        <a:xfrm>
          <a:off x="1438275" y="13592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59</xdr:row>
      <xdr:rowOff>0</xdr:rowOff>
    </xdr:from>
    <xdr:ext cx="85725" cy="161925"/>
    <xdr:sp fLocksText="0">
      <xdr:nvSpPr>
        <xdr:cNvPr id="65" name="Text Box 8"/>
        <xdr:cNvSpPr txBox="1">
          <a:spLocks noChangeArrowheads="1"/>
        </xdr:cNvSpPr>
      </xdr:nvSpPr>
      <xdr:spPr>
        <a:xfrm>
          <a:off x="1438275" y="13592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59</xdr:row>
      <xdr:rowOff>0</xdr:rowOff>
    </xdr:from>
    <xdr:ext cx="85725" cy="161925"/>
    <xdr:sp fLocksText="0">
      <xdr:nvSpPr>
        <xdr:cNvPr id="66" name="Text Box 9"/>
        <xdr:cNvSpPr txBox="1">
          <a:spLocks noChangeArrowheads="1"/>
        </xdr:cNvSpPr>
      </xdr:nvSpPr>
      <xdr:spPr>
        <a:xfrm>
          <a:off x="1438275" y="13592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59</xdr:row>
      <xdr:rowOff>0</xdr:rowOff>
    </xdr:from>
    <xdr:ext cx="85725" cy="161925"/>
    <xdr:sp fLocksText="0">
      <xdr:nvSpPr>
        <xdr:cNvPr id="67" name="Text Box 10"/>
        <xdr:cNvSpPr txBox="1">
          <a:spLocks noChangeArrowheads="1"/>
        </xdr:cNvSpPr>
      </xdr:nvSpPr>
      <xdr:spPr>
        <a:xfrm>
          <a:off x="1438275" y="13592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59</xdr:row>
      <xdr:rowOff>0</xdr:rowOff>
    </xdr:from>
    <xdr:ext cx="85725" cy="161925"/>
    <xdr:sp fLocksText="0">
      <xdr:nvSpPr>
        <xdr:cNvPr id="68" name="Text Box 11"/>
        <xdr:cNvSpPr txBox="1">
          <a:spLocks noChangeArrowheads="1"/>
        </xdr:cNvSpPr>
      </xdr:nvSpPr>
      <xdr:spPr>
        <a:xfrm>
          <a:off x="1438275" y="13592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59</xdr:row>
      <xdr:rowOff>0</xdr:rowOff>
    </xdr:from>
    <xdr:ext cx="85725" cy="161925"/>
    <xdr:sp fLocksText="0">
      <xdr:nvSpPr>
        <xdr:cNvPr id="69" name="Text Box 12"/>
        <xdr:cNvSpPr txBox="1">
          <a:spLocks noChangeArrowheads="1"/>
        </xdr:cNvSpPr>
      </xdr:nvSpPr>
      <xdr:spPr>
        <a:xfrm>
          <a:off x="1438275" y="13592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59</xdr:row>
      <xdr:rowOff>0</xdr:rowOff>
    </xdr:from>
    <xdr:ext cx="85725" cy="161925"/>
    <xdr:sp fLocksText="0">
      <xdr:nvSpPr>
        <xdr:cNvPr id="70" name="Text Box 13"/>
        <xdr:cNvSpPr txBox="1">
          <a:spLocks noChangeArrowheads="1"/>
        </xdr:cNvSpPr>
      </xdr:nvSpPr>
      <xdr:spPr>
        <a:xfrm>
          <a:off x="1438275" y="135921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2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3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4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5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6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209</xdr:row>
      <xdr:rowOff>0</xdr:rowOff>
    </xdr:from>
    <xdr:ext cx="85725" cy="142875"/>
    <xdr:sp fLocksText="0">
      <xdr:nvSpPr>
        <xdr:cNvPr id="77" name="Text Box 6"/>
        <xdr:cNvSpPr txBox="1">
          <a:spLocks noChangeArrowheads="1"/>
        </xdr:cNvSpPr>
      </xdr:nvSpPr>
      <xdr:spPr>
        <a:xfrm>
          <a:off x="0" y="377380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209</xdr:row>
      <xdr:rowOff>0</xdr:rowOff>
    </xdr:from>
    <xdr:ext cx="85725" cy="142875"/>
    <xdr:sp fLocksText="0">
      <xdr:nvSpPr>
        <xdr:cNvPr id="78" name="Text Box 7"/>
        <xdr:cNvSpPr txBox="1">
          <a:spLocks noChangeArrowheads="1"/>
        </xdr:cNvSpPr>
      </xdr:nvSpPr>
      <xdr:spPr>
        <a:xfrm>
          <a:off x="0" y="377380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209</xdr:row>
      <xdr:rowOff>0</xdr:rowOff>
    </xdr:from>
    <xdr:ext cx="85725" cy="142875"/>
    <xdr:sp fLocksText="0">
      <xdr:nvSpPr>
        <xdr:cNvPr id="79" name="Text Box 8"/>
        <xdr:cNvSpPr txBox="1">
          <a:spLocks noChangeArrowheads="1"/>
        </xdr:cNvSpPr>
      </xdr:nvSpPr>
      <xdr:spPr>
        <a:xfrm>
          <a:off x="0" y="377380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209</xdr:row>
      <xdr:rowOff>0</xdr:rowOff>
    </xdr:from>
    <xdr:ext cx="85725" cy="142875"/>
    <xdr:sp fLocksText="0">
      <xdr:nvSpPr>
        <xdr:cNvPr id="80" name="Text Box 9"/>
        <xdr:cNvSpPr txBox="1">
          <a:spLocks noChangeArrowheads="1"/>
        </xdr:cNvSpPr>
      </xdr:nvSpPr>
      <xdr:spPr>
        <a:xfrm>
          <a:off x="0" y="377380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209</xdr:row>
      <xdr:rowOff>0</xdr:rowOff>
    </xdr:from>
    <xdr:ext cx="85725" cy="142875"/>
    <xdr:sp fLocksText="0">
      <xdr:nvSpPr>
        <xdr:cNvPr id="81" name="Text Box 10"/>
        <xdr:cNvSpPr txBox="1">
          <a:spLocks noChangeArrowheads="1"/>
        </xdr:cNvSpPr>
      </xdr:nvSpPr>
      <xdr:spPr>
        <a:xfrm>
          <a:off x="0" y="377380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209</xdr:row>
      <xdr:rowOff>0</xdr:rowOff>
    </xdr:from>
    <xdr:ext cx="85725" cy="142875"/>
    <xdr:sp fLocksText="0">
      <xdr:nvSpPr>
        <xdr:cNvPr id="82" name="Text Box 11"/>
        <xdr:cNvSpPr txBox="1">
          <a:spLocks noChangeArrowheads="1"/>
        </xdr:cNvSpPr>
      </xdr:nvSpPr>
      <xdr:spPr>
        <a:xfrm>
          <a:off x="0" y="377380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209</xdr:row>
      <xdr:rowOff>0</xdr:rowOff>
    </xdr:from>
    <xdr:ext cx="85725" cy="142875"/>
    <xdr:sp fLocksText="0">
      <xdr:nvSpPr>
        <xdr:cNvPr id="83" name="Text Box 12"/>
        <xdr:cNvSpPr txBox="1">
          <a:spLocks noChangeArrowheads="1"/>
        </xdr:cNvSpPr>
      </xdr:nvSpPr>
      <xdr:spPr>
        <a:xfrm>
          <a:off x="0" y="377380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209</xdr:row>
      <xdr:rowOff>0</xdr:rowOff>
    </xdr:from>
    <xdr:ext cx="85725" cy="142875"/>
    <xdr:sp fLocksText="0">
      <xdr:nvSpPr>
        <xdr:cNvPr id="84" name="Text Box 13"/>
        <xdr:cNvSpPr txBox="1">
          <a:spLocks noChangeArrowheads="1"/>
        </xdr:cNvSpPr>
      </xdr:nvSpPr>
      <xdr:spPr>
        <a:xfrm>
          <a:off x="0" y="377380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209</xdr:row>
      <xdr:rowOff>0</xdr:rowOff>
    </xdr:from>
    <xdr:ext cx="85725" cy="142875"/>
    <xdr:sp fLocksText="0">
      <xdr:nvSpPr>
        <xdr:cNvPr id="85" name="Text Box 6"/>
        <xdr:cNvSpPr txBox="1">
          <a:spLocks noChangeArrowheads="1"/>
        </xdr:cNvSpPr>
      </xdr:nvSpPr>
      <xdr:spPr>
        <a:xfrm>
          <a:off x="0" y="377380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209</xdr:row>
      <xdr:rowOff>0</xdr:rowOff>
    </xdr:from>
    <xdr:ext cx="85725" cy="142875"/>
    <xdr:sp fLocksText="0">
      <xdr:nvSpPr>
        <xdr:cNvPr id="86" name="Text Box 7"/>
        <xdr:cNvSpPr txBox="1">
          <a:spLocks noChangeArrowheads="1"/>
        </xdr:cNvSpPr>
      </xdr:nvSpPr>
      <xdr:spPr>
        <a:xfrm>
          <a:off x="0" y="377380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209</xdr:row>
      <xdr:rowOff>0</xdr:rowOff>
    </xdr:from>
    <xdr:ext cx="85725" cy="142875"/>
    <xdr:sp fLocksText="0">
      <xdr:nvSpPr>
        <xdr:cNvPr id="87" name="Text Box 8"/>
        <xdr:cNvSpPr txBox="1">
          <a:spLocks noChangeArrowheads="1"/>
        </xdr:cNvSpPr>
      </xdr:nvSpPr>
      <xdr:spPr>
        <a:xfrm>
          <a:off x="0" y="377380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209</xdr:row>
      <xdr:rowOff>0</xdr:rowOff>
    </xdr:from>
    <xdr:ext cx="85725" cy="142875"/>
    <xdr:sp fLocksText="0">
      <xdr:nvSpPr>
        <xdr:cNvPr id="88" name="Text Box 9"/>
        <xdr:cNvSpPr txBox="1">
          <a:spLocks noChangeArrowheads="1"/>
        </xdr:cNvSpPr>
      </xdr:nvSpPr>
      <xdr:spPr>
        <a:xfrm>
          <a:off x="0" y="377380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209</xdr:row>
      <xdr:rowOff>0</xdr:rowOff>
    </xdr:from>
    <xdr:ext cx="85725" cy="142875"/>
    <xdr:sp fLocksText="0">
      <xdr:nvSpPr>
        <xdr:cNvPr id="89" name="Text Box 10"/>
        <xdr:cNvSpPr txBox="1">
          <a:spLocks noChangeArrowheads="1"/>
        </xdr:cNvSpPr>
      </xdr:nvSpPr>
      <xdr:spPr>
        <a:xfrm>
          <a:off x="0" y="377380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209</xdr:row>
      <xdr:rowOff>0</xdr:rowOff>
    </xdr:from>
    <xdr:ext cx="85725" cy="142875"/>
    <xdr:sp fLocksText="0">
      <xdr:nvSpPr>
        <xdr:cNvPr id="90" name="Text Box 11"/>
        <xdr:cNvSpPr txBox="1">
          <a:spLocks noChangeArrowheads="1"/>
        </xdr:cNvSpPr>
      </xdr:nvSpPr>
      <xdr:spPr>
        <a:xfrm>
          <a:off x="0" y="377380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209</xdr:row>
      <xdr:rowOff>0</xdr:rowOff>
    </xdr:from>
    <xdr:ext cx="85725" cy="142875"/>
    <xdr:sp fLocksText="0">
      <xdr:nvSpPr>
        <xdr:cNvPr id="91" name="Text Box 12"/>
        <xdr:cNvSpPr txBox="1">
          <a:spLocks noChangeArrowheads="1"/>
        </xdr:cNvSpPr>
      </xdr:nvSpPr>
      <xdr:spPr>
        <a:xfrm>
          <a:off x="0" y="377380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209</xdr:row>
      <xdr:rowOff>0</xdr:rowOff>
    </xdr:from>
    <xdr:ext cx="85725" cy="142875"/>
    <xdr:sp fLocksText="0">
      <xdr:nvSpPr>
        <xdr:cNvPr id="92" name="Text Box 13"/>
        <xdr:cNvSpPr txBox="1">
          <a:spLocks noChangeArrowheads="1"/>
        </xdr:cNvSpPr>
      </xdr:nvSpPr>
      <xdr:spPr>
        <a:xfrm>
          <a:off x="0" y="3773805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3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4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77</xdr:row>
      <xdr:rowOff>0</xdr:rowOff>
    </xdr:from>
    <xdr:ext cx="85725" cy="200025"/>
    <xdr:sp fLocksText="0">
      <xdr:nvSpPr>
        <xdr:cNvPr id="95" name="Text Box 6"/>
        <xdr:cNvSpPr txBox="1">
          <a:spLocks noChangeArrowheads="1"/>
        </xdr:cNvSpPr>
      </xdr:nvSpPr>
      <xdr:spPr>
        <a:xfrm>
          <a:off x="0" y="1570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85725" cy="200025"/>
    <xdr:sp fLocksText="0">
      <xdr:nvSpPr>
        <xdr:cNvPr id="96" name="Text Box 7"/>
        <xdr:cNvSpPr txBox="1">
          <a:spLocks noChangeArrowheads="1"/>
        </xdr:cNvSpPr>
      </xdr:nvSpPr>
      <xdr:spPr>
        <a:xfrm>
          <a:off x="0" y="1570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85725" cy="200025"/>
    <xdr:sp fLocksText="0">
      <xdr:nvSpPr>
        <xdr:cNvPr id="97" name="Text Box 8"/>
        <xdr:cNvSpPr txBox="1">
          <a:spLocks noChangeArrowheads="1"/>
        </xdr:cNvSpPr>
      </xdr:nvSpPr>
      <xdr:spPr>
        <a:xfrm>
          <a:off x="0" y="1570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85725" cy="200025"/>
    <xdr:sp fLocksText="0">
      <xdr:nvSpPr>
        <xdr:cNvPr id="98" name="Text Box 9"/>
        <xdr:cNvSpPr txBox="1">
          <a:spLocks noChangeArrowheads="1"/>
        </xdr:cNvSpPr>
      </xdr:nvSpPr>
      <xdr:spPr>
        <a:xfrm>
          <a:off x="0" y="1570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85725" cy="200025"/>
    <xdr:sp fLocksText="0">
      <xdr:nvSpPr>
        <xdr:cNvPr id="99" name="Text Box 10"/>
        <xdr:cNvSpPr txBox="1">
          <a:spLocks noChangeArrowheads="1"/>
        </xdr:cNvSpPr>
      </xdr:nvSpPr>
      <xdr:spPr>
        <a:xfrm>
          <a:off x="0" y="1570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85725" cy="200025"/>
    <xdr:sp fLocksText="0">
      <xdr:nvSpPr>
        <xdr:cNvPr id="100" name="Text Box 11"/>
        <xdr:cNvSpPr txBox="1">
          <a:spLocks noChangeArrowheads="1"/>
        </xdr:cNvSpPr>
      </xdr:nvSpPr>
      <xdr:spPr>
        <a:xfrm>
          <a:off x="0" y="1570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85725" cy="200025"/>
    <xdr:sp fLocksText="0">
      <xdr:nvSpPr>
        <xdr:cNvPr id="101" name="Text Box 12"/>
        <xdr:cNvSpPr txBox="1">
          <a:spLocks noChangeArrowheads="1"/>
        </xdr:cNvSpPr>
      </xdr:nvSpPr>
      <xdr:spPr>
        <a:xfrm>
          <a:off x="0" y="1570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85725" cy="200025"/>
    <xdr:sp fLocksText="0">
      <xdr:nvSpPr>
        <xdr:cNvPr id="102" name="Text Box 13"/>
        <xdr:cNvSpPr txBox="1">
          <a:spLocks noChangeArrowheads="1"/>
        </xdr:cNvSpPr>
      </xdr:nvSpPr>
      <xdr:spPr>
        <a:xfrm>
          <a:off x="0" y="1570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85725" cy="200025"/>
    <xdr:sp fLocksText="0">
      <xdr:nvSpPr>
        <xdr:cNvPr id="103" name="Text Box 6"/>
        <xdr:cNvSpPr txBox="1">
          <a:spLocks noChangeArrowheads="1"/>
        </xdr:cNvSpPr>
      </xdr:nvSpPr>
      <xdr:spPr>
        <a:xfrm>
          <a:off x="0" y="1570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85725" cy="200025"/>
    <xdr:sp fLocksText="0">
      <xdr:nvSpPr>
        <xdr:cNvPr id="104" name="Text Box 7"/>
        <xdr:cNvSpPr txBox="1">
          <a:spLocks noChangeArrowheads="1"/>
        </xdr:cNvSpPr>
      </xdr:nvSpPr>
      <xdr:spPr>
        <a:xfrm>
          <a:off x="0" y="1570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85725" cy="200025"/>
    <xdr:sp fLocksText="0">
      <xdr:nvSpPr>
        <xdr:cNvPr id="105" name="Text Box 8"/>
        <xdr:cNvSpPr txBox="1">
          <a:spLocks noChangeArrowheads="1"/>
        </xdr:cNvSpPr>
      </xdr:nvSpPr>
      <xdr:spPr>
        <a:xfrm>
          <a:off x="0" y="1570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85725" cy="200025"/>
    <xdr:sp fLocksText="0">
      <xdr:nvSpPr>
        <xdr:cNvPr id="106" name="Text Box 9"/>
        <xdr:cNvSpPr txBox="1">
          <a:spLocks noChangeArrowheads="1"/>
        </xdr:cNvSpPr>
      </xdr:nvSpPr>
      <xdr:spPr>
        <a:xfrm>
          <a:off x="0" y="1570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85725" cy="200025"/>
    <xdr:sp fLocksText="0">
      <xdr:nvSpPr>
        <xdr:cNvPr id="107" name="Text Box 10"/>
        <xdr:cNvSpPr txBox="1">
          <a:spLocks noChangeArrowheads="1"/>
        </xdr:cNvSpPr>
      </xdr:nvSpPr>
      <xdr:spPr>
        <a:xfrm>
          <a:off x="0" y="1570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85725" cy="200025"/>
    <xdr:sp fLocksText="0">
      <xdr:nvSpPr>
        <xdr:cNvPr id="108" name="Text Box 11"/>
        <xdr:cNvSpPr txBox="1">
          <a:spLocks noChangeArrowheads="1"/>
        </xdr:cNvSpPr>
      </xdr:nvSpPr>
      <xdr:spPr>
        <a:xfrm>
          <a:off x="0" y="1570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85725" cy="200025"/>
    <xdr:sp fLocksText="0">
      <xdr:nvSpPr>
        <xdr:cNvPr id="109" name="Text Box 12"/>
        <xdr:cNvSpPr txBox="1">
          <a:spLocks noChangeArrowheads="1"/>
        </xdr:cNvSpPr>
      </xdr:nvSpPr>
      <xdr:spPr>
        <a:xfrm>
          <a:off x="0" y="1570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85725" cy="200025"/>
    <xdr:sp fLocksText="0">
      <xdr:nvSpPr>
        <xdr:cNvPr id="110" name="Text Box 13"/>
        <xdr:cNvSpPr txBox="1">
          <a:spLocks noChangeArrowheads="1"/>
        </xdr:cNvSpPr>
      </xdr:nvSpPr>
      <xdr:spPr>
        <a:xfrm>
          <a:off x="0" y="1570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1" name="Rectangle 1"/>
        <xdr:cNvSpPr>
          <a:spLocks/>
        </xdr:cNvSpPr>
      </xdr:nvSpPr>
      <xdr:spPr>
        <a:xfrm>
          <a:off x="49625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2" name="Rectangle 1"/>
        <xdr:cNvSpPr>
          <a:spLocks/>
        </xdr:cNvSpPr>
      </xdr:nvSpPr>
      <xdr:spPr>
        <a:xfrm>
          <a:off x="49625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952500</xdr:colOff>
      <xdr:row>36</xdr:row>
      <xdr:rowOff>0</xdr:rowOff>
    </xdr:from>
    <xdr:ext cx="85725" cy="171450"/>
    <xdr:sp fLocksText="0">
      <xdr:nvSpPr>
        <xdr:cNvPr id="113" name="Text Box 6"/>
        <xdr:cNvSpPr txBox="1">
          <a:spLocks noChangeArrowheads="1"/>
        </xdr:cNvSpPr>
      </xdr:nvSpPr>
      <xdr:spPr>
        <a:xfrm>
          <a:off x="1438275" y="8534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36</xdr:row>
      <xdr:rowOff>0</xdr:rowOff>
    </xdr:from>
    <xdr:ext cx="85725" cy="171450"/>
    <xdr:sp fLocksText="0">
      <xdr:nvSpPr>
        <xdr:cNvPr id="114" name="Text Box 7"/>
        <xdr:cNvSpPr txBox="1">
          <a:spLocks noChangeArrowheads="1"/>
        </xdr:cNvSpPr>
      </xdr:nvSpPr>
      <xdr:spPr>
        <a:xfrm>
          <a:off x="1438275" y="8534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36</xdr:row>
      <xdr:rowOff>0</xdr:rowOff>
    </xdr:from>
    <xdr:ext cx="85725" cy="171450"/>
    <xdr:sp fLocksText="0">
      <xdr:nvSpPr>
        <xdr:cNvPr id="115" name="Text Box 8"/>
        <xdr:cNvSpPr txBox="1">
          <a:spLocks noChangeArrowheads="1"/>
        </xdr:cNvSpPr>
      </xdr:nvSpPr>
      <xdr:spPr>
        <a:xfrm>
          <a:off x="1438275" y="8534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36</xdr:row>
      <xdr:rowOff>0</xdr:rowOff>
    </xdr:from>
    <xdr:ext cx="85725" cy="171450"/>
    <xdr:sp fLocksText="0">
      <xdr:nvSpPr>
        <xdr:cNvPr id="116" name="Text Box 9"/>
        <xdr:cNvSpPr txBox="1">
          <a:spLocks noChangeArrowheads="1"/>
        </xdr:cNvSpPr>
      </xdr:nvSpPr>
      <xdr:spPr>
        <a:xfrm>
          <a:off x="1438275" y="8534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36</xdr:row>
      <xdr:rowOff>0</xdr:rowOff>
    </xdr:from>
    <xdr:ext cx="85725" cy="171450"/>
    <xdr:sp fLocksText="0">
      <xdr:nvSpPr>
        <xdr:cNvPr id="117" name="Text Box 10"/>
        <xdr:cNvSpPr txBox="1">
          <a:spLocks noChangeArrowheads="1"/>
        </xdr:cNvSpPr>
      </xdr:nvSpPr>
      <xdr:spPr>
        <a:xfrm>
          <a:off x="1438275" y="8534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36</xdr:row>
      <xdr:rowOff>0</xdr:rowOff>
    </xdr:from>
    <xdr:ext cx="85725" cy="171450"/>
    <xdr:sp fLocksText="0">
      <xdr:nvSpPr>
        <xdr:cNvPr id="118" name="Text Box 11"/>
        <xdr:cNvSpPr txBox="1">
          <a:spLocks noChangeArrowheads="1"/>
        </xdr:cNvSpPr>
      </xdr:nvSpPr>
      <xdr:spPr>
        <a:xfrm>
          <a:off x="1438275" y="8534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36</xdr:row>
      <xdr:rowOff>0</xdr:rowOff>
    </xdr:from>
    <xdr:ext cx="85725" cy="171450"/>
    <xdr:sp fLocksText="0">
      <xdr:nvSpPr>
        <xdr:cNvPr id="119" name="Text Box 12"/>
        <xdr:cNvSpPr txBox="1">
          <a:spLocks noChangeArrowheads="1"/>
        </xdr:cNvSpPr>
      </xdr:nvSpPr>
      <xdr:spPr>
        <a:xfrm>
          <a:off x="1438275" y="8534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36</xdr:row>
      <xdr:rowOff>0</xdr:rowOff>
    </xdr:from>
    <xdr:ext cx="85725" cy="171450"/>
    <xdr:sp fLocksText="0">
      <xdr:nvSpPr>
        <xdr:cNvPr id="120" name="Text Box 13"/>
        <xdr:cNvSpPr txBox="1">
          <a:spLocks noChangeArrowheads="1"/>
        </xdr:cNvSpPr>
      </xdr:nvSpPr>
      <xdr:spPr>
        <a:xfrm>
          <a:off x="1438275" y="8534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36</xdr:row>
      <xdr:rowOff>0</xdr:rowOff>
    </xdr:from>
    <xdr:ext cx="85725" cy="171450"/>
    <xdr:sp fLocksText="0">
      <xdr:nvSpPr>
        <xdr:cNvPr id="121" name="Text Box 6"/>
        <xdr:cNvSpPr txBox="1">
          <a:spLocks noChangeArrowheads="1"/>
        </xdr:cNvSpPr>
      </xdr:nvSpPr>
      <xdr:spPr>
        <a:xfrm>
          <a:off x="1438275" y="8534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36</xdr:row>
      <xdr:rowOff>0</xdr:rowOff>
    </xdr:from>
    <xdr:ext cx="85725" cy="171450"/>
    <xdr:sp fLocksText="0">
      <xdr:nvSpPr>
        <xdr:cNvPr id="122" name="Text Box 7"/>
        <xdr:cNvSpPr txBox="1">
          <a:spLocks noChangeArrowheads="1"/>
        </xdr:cNvSpPr>
      </xdr:nvSpPr>
      <xdr:spPr>
        <a:xfrm>
          <a:off x="1438275" y="8534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36</xdr:row>
      <xdr:rowOff>0</xdr:rowOff>
    </xdr:from>
    <xdr:ext cx="85725" cy="171450"/>
    <xdr:sp fLocksText="0">
      <xdr:nvSpPr>
        <xdr:cNvPr id="123" name="Text Box 8"/>
        <xdr:cNvSpPr txBox="1">
          <a:spLocks noChangeArrowheads="1"/>
        </xdr:cNvSpPr>
      </xdr:nvSpPr>
      <xdr:spPr>
        <a:xfrm>
          <a:off x="1438275" y="8534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36</xdr:row>
      <xdr:rowOff>0</xdr:rowOff>
    </xdr:from>
    <xdr:ext cx="85725" cy="171450"/>
    <xdr:sp fLocksText="0">
      <xdr:nvSpPr>
        <xdr:cNvPr id="124" name="Text Box 9"/>
        <xdr:cNvSpPr txBox="1">
          <a:spLocks noChangeArrowheads="1"/>
        </xdr:cNvSpPr>
      </xdr:nvSpPr>
      <xdr:spPr>
        <a:xfrm>
          <a:off x="1438275" y="8534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36</xdr:row>
      <xdr:rowOff>0</xdr:rowOff>
    </xdr:from>
    <xdr:ext cx="85725" cy="171450"/>
    <xdr:sp fLocksText="0">
      <xdr:nvSpPr>
        <xdr:cNvPr id="125" name="Text Box 10"/>
        <xdr:cNvSpPr txBox="1">
          <a:spLocks noChangeArrowheads="1"/>
        </xdr:cNvSpPr>
      </xdr:nvSpPr>
      <xdr:spPr>
        <a:xfrm>
          <a:off x="1438275" y="8534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36</xdr:row>
      <xdr:rowOff>0</xdr:rowOff>
    </xdr:from>
    <xdr:ext cx="85725" cy="171450"/>
    <xdr:sp fLocksText="0">
      <xdr:nvSpPr>
        <xdr:cNvPr id="126" name="Text Box 11"/>
        <xdr:cNvSpPr txBox="1">
          <a:spLocks noChangeArrowheads="1"/>
        </xdr:cNvSpPr>
      </xdr:nvSpPr>
      <xdr:spPr>
        <a:xfrm>
          <a:off x="1438275" y="8534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36</xdr:row>
      <xdr:rowOff>0</xdr:rowOff>
    </xdr:from>
    <xdr:ext cx="85725" cy="171450"/>
    <xdr:sp fLocksText="0">
      <xdr:nvSpPr>
        <xdr:cNvPr id="127" name="Text Box 12"/>
        <xdr:cNvSpPr txBox="1">
          <a:spLocks noChangeArrowheads="1"/>
        </xdr:cNvSpPr>
      </xdr:nvSpPr>
      <xdr:spPr>
        <a:xfrm>
          <a:off x="1438275" y="8534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952500</xdr:colOff>
      <xdr:row>36</xdr:row>
      <xdr:rowOff>0</xdr:rowOff>
    </xdr:from>
    <xdr:ext cx="85725" cy="171450"/>
    <xdr:sp fLocksText="0">
      <xdr:nvSpPr>
        <xdr:cNvPr id="128" name="Text Box 13"/>
        <xdr:cNvSpPr txBox="1">
          <a:spLocks noChangeArrowheads="1"/>
        </xdr:cNvSpPr>
      </xdr:nvSpPr>
      <xdr:spPr>
        <a:xfrm>
          <a:off x="1438275" y="85344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1" name="Text Box 6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2" name="Text Box 7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3" name="Text Box 8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4" name="Text Box 9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5" name="Text Box 10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6" name="Text Box 11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7" name="Text Box 12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8" name="Text Box 13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9" name="Text Box 6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10" name="Text Box 7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11" name="Text Box 8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12" name="Text Box 9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13" name="Text Box 10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14" name="Text Box 11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15" name="Text Box 12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16" name="Text Box 13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17" name="Text Box 6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18" name="Text Box 7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19" name="Text Box 8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20" name="Text Box 9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21" name="Text Box 10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22" name="Text Box 11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23" name="Text Box 12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24" name="Text Box 13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25" name="Text Box 6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26" name="Text Box 7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27" name="Text Box 8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28" name="Text Box 9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29" name="Text Box 10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30" name="Text Box 11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31" name="Text Box 12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942975</xdr:colOff>
      <xdr:row>28</xdr:row>
      <xdr:rowOff>0</xdr:rowOff>
    </xdr:from>
    <xdr:ext cx="85725" cy="161925"/>
    <xdr:sp fLocksText="0">
      <xdr:nvSpPr>
        <xdr:cNvPr id="32" name="Text Box 13"/>
        <xdr:cNvSpPr txBox="1">
          <a:spLocks noChangeArrowheads="1"/>
        </xdr:cNvSpPr>
      </xdr:nvSpPr>
      <xdr:spPr>
        <a:xfrm>
          <a:off x="1447800" y="54578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Watt" TargetMode="External" /><Relationship Id="rId2" Type="http://schemas.openxmlformats.org/officeDocument/2006/relationships/hyperlink" Target="http://en.wikipedia.org/wiki/Watt" TargetMode="External" /><Relationship Id="rId3" Type="http://schemas.openxmlformats.org/officeDocument/2006/relationships/hyperlink" Target="http://en.wikipedia.org/wiki/Watt" TargetMode="External" /><Relationship Id="rId4" Type="http://schemas.openxmlformats.org/officeDocument/2006/relationships/hyperlink" Target="http://en.wikipedia.org/wiki/Watt" TargetMode="External" /><Relationship Id="rId5" Type="http://schemas.openxmlformats.org/officeDocument/2006/relationships/hyperlink" Target="http://en.wikipedia.org/wiki/Watt" TargetMode="External" /><Relationship Id="rId6" Type="http://schemas.openxmlformats.org/officeDocument/2006/relationships/hyperlink" Target="http://en.wikipedia.org/wiki/Watt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01"/>
  <sheetViews>
    <sheetView zoomScale="115" zoomScaleNormal="115" zoomScalePageLayoutView="0" workbookViewId="0" topLeftCell="A49">
      <selection activeCell="O29" sqref="O29"/>
    </sheetView>
  </sheetViews>
  <sheetFormatPr defaultColWidth="9.00390625" defaultRowHeight="12.75"/>
  <cols>
    <col min="1" max="1" width="6.375" style="150" customWidth="1"/>
    <col min="2" max="2" width="42.75390625" style="150" customWidth="1"/>
    <col min="3" max="4" width="8.00390625" style="150" customWidth="1"/>
    <col min="5" max="5" width="7.375" style="149" customWidth="1"/>
    <col min="6" max="6" width="7.875" style="149" customWidth="1"/>
    <col min="7" max="7" width="7.25390625" style="149" customWidth="1"/>
    <col min="8" max="8" width="7.75390625" style="149" customWidth="1"/>
    <col min="9" max="9" width="7.25390625" style="149" customWidth="1"/>
    <col min="10" max="10" width="7.00390625" style="149" customWidth="1"/>
    <col min="11" max="11" width="8.25390625" style="149" customWidth="1"/>
    <col min="12" max="12" width="8.875" style="149" customWidth="1"/>
    <col min="13" max="13" width="10.25390625" style="149" customWidth="1"/>
    <col min="14" max="14" width="7.75390625" style="149" customWidth="1"/>
    <col min="15" max="15" width="9.125" style="149" customWidth="1"/>
    <col min="16" max="16" width="7.75390625" style="149" hidden="1" customWidth="1"/>
    <col min="17" max="17" width="9.375" style="149" bestFit="1" customWidth="1"/>
    <col min="18" max="18" width="9.125" style="149" customWidth="1"/>
    <col min="19" max="19" width="9.375" style="149" bestFit="1" customWidth="1"/>
    <col min="20" max="16384" width="9.125" style="149" customWidth="1"/>
  </cols>
  <sheetData>
    <row r="1" s="137" customFormat="1" ht="15"/>
    <row r="2" s="137" customFormat="1" ht="15"/>
    <row r="3" spans="1:15" s="138" customFormat="1" ht="16.5" customHeight="1">
      <c r="A3" s="734"/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</row>
    <row r="4" spans="1:15" s="138" customFormat="1" ht="14.25" customHeight="1">
      <c r="A4" s="734"/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</row>
    <row r="5" spans="1:15" s="138" customFormat="1" ht="12" customHeight="1">
      <c r="A5" s="728"/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</row>
    <row r="6" spans="10:13" s="138" customFormat="1" ht="15">
      <c r="J6" s="139"/>
      <c r="K6" s="139"/>
      <c r="M6" s="139"/>
    </row>
    <row r="7" spans="10:13" s="138" customFormat="1" ht="13.5" customHeight="1">
      <c r="J7" s="140"/>
      <c r="K7" s="141"/>
      <c r="L7" s="142"/>
      <c r="M7" s="143"/>
    </row>
    <row r="8" spans="1:9" s="138" customFormat="1" ht="14.25" customHeight="1">
      <c r="A8" s="729"/>
      <c r="B8" s="729"/>
      <c r="C8" s="729"/>
      <c r="D8" s="729"/>
      <c r="E8" s="729"/>
      <c r="F8" s="729"/>
      <c r="G8" s="729"/>
      <c r="H8" s="729"/>
      <c r="I8" s="729"/>
    </row>
    <row r="9" spans="1:16" s="138" customFormat="1" ht="14.25" customHeight="1">
      <c r="A9" s="144"/>
      <c r="B9" s="144"/>
      <c r="C9" s="144"/>
      <c r="D9" s="144"/>
      <c r="E9" s="144"/>
      <c r="F9" s="144"/>
      <c r="G9" s="144"/>
      <c r="H9" s="144"/>
      <c r="I9" s="144"/>
      <c r="J9" s="145" t="s">
        <v>331</v>
      </c>
      <c r="K9" s="145"/>
      <c r="L9" s="730">
        <f>O76</f>
        <v>13601.149527540001</v>
      </c>
      <c r="M9" s="730"/>
      <c r="P9" s="144"/>
    </row>
    <row r="10" spans="1:14" s="138" customFormat="1" ht="14.25" customHeight="1">
      <c r="A10" s="729"/>
      <c r="B10" s="729"/>
      <c r="C10" s="729"/>
      <c r="D10" s="729"/>
      <c r="E10" s="729"/>
      <c r="F10" s="729"/>
      <c r="G10" s="729"/>
      <c r="H10" s="729"/>
      <c r="I10" s="729"/>
      <c r="J10" s="138" t="s">
        <v>553</v>
      </c>
      <c r="M10" s="147"/>
      <c r="N10" s="148"/>
    </row>
    <row r="11" ht="15.75" thickBot="1"/>
    <row r="12" spans="1:15" ht="17.25" customHeight="1" thickBot="1">
      <c r="A12" s="739" t="s">
        <v>359</v>
      </c>
      <c r="B12" s="742" t="s">
        <v>360</v>
      </c>
      <c r="C12" s="745" t="s">
        <v>361</v>
      </c>
      <c r="D12" s="746" t="s">
        <v>362</v>
      </c>
      <c r="E12" s="749" t="s">
        <v>334</v>
      </c>
      <c r="F12" s="749"/>
      <c r="G12" s="749"/>
      <c r="H12" s="749"/>
      <c r="I12" s="749"/>
      <c r="J12" s="750"/>
      <c r="K12" s="733" t="s">
        <v>335</v>
      </c>
      <c r="L12" s="733"/>
      <c r="M12" s="733"/>
      <c r="N12" s="733"/>
      <c r="O12" s="733"/>
    </row>
    <row r="13" spans="1:16" ht="12.75" customHeight="1">
      <c r="A13" s="740"/>
      <c r="B13" s="743"/>
      <c r="C13" s="743"/>
      <c r="D13" s="747"/>
      <c r="E13" s="737" t="s">
        <v>336</v>
      </c>
      <c r="F13" s="731" t="s">
        <v>337</v>
      </c>
      <c r="G13" s="731" t="s">
        <v>338</v>
      </c>
      <c r="H13" s="731" t="s">
        <v>339</v>
      </c>
      <c r="I13" s="735" t="s">
        <v>340</v>
      </c>
      <c r="J13" s="731" t="s">
        <v>345</v>
      </c>
      <c r="K13" s="731" t="s">
        <v>341</v>
      </c>
      <c r="L13" s="731" t="s">
        <v>338</v>
      </c>
      <c r="M13" s="731" t="s">
        <v>342</v>
      </c>
      <c r="N13" s="735" t="s">
        <v>343</v>
      </c>
      <c r="O13" s="731" t="s">
        <v>344</v>
      </c>
      <c r="P13" s="731" t="s">
        <v>339</v>
      </c>
    </row>
    <row r="14" spans="1:16" ht="66.75" customHeight="1" thickBot="1">
      <c r="A14" s="741"/>
      <c r="B14" s="744"/>
      <c r="C14" s="744"/>
      <c r="D14" s="748"/>
      <c r="E14" s="738"/>
      <c r="F14" s="732"/>
      <c r="G14" s="732"/>
      <c r="H14" s="732"/>
      <c r="I14" s="736"/>
      <c r="J14" s="732"/>
      <c r="K14" s="732"/>
      <c r="L14" s="732"/>
      <c r="M14" s="732"/>
      <c r="N14" s="736"/>
      <c r="O14" s="732"/>
      <c r="P14" s="732"/>
    </row>
    <row r="15" spans="1:16" ht="15.75" customHeight="1">
      <c r="A15" s="153"/>
      <c r="B15" s="154"/>
      <c r="C15" s="155"/>
      <c r="D15" s="156"/>
      <c r="E15" s="157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</row>
    <row r="16" spans="1:16" ht="15" customHeight="1">
      <c r="A16" s="151"/>
      <c r="B16" s="152"/>
      <c r="C16" s="152"/>
      <c r="D16" s="159"/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</row>
    <row r="17" spans="1:16" ht="15" customHeight="1">
      <c r="A17" s="229">
        <f>A16+1</f>
        <v>1</v>
      </c>
      <c r="B17" s="162" t="s">
        <v>363</v>
      </c>
      <c r="C17" s="162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28.5" customHeight="1">
      <c r="A18" s="229">
        <f aca="true" t="shared" si="0" ref="A18:A69">A17+1</f>
        <v>2</v>
      </c>
      <c r="B18" s="178" t="s">
        <v>566</v>
      </c>
      <c r="C18" s="131" t="s">
        <v>10</v>
      </c>
      <c r="D18" s="166">
        <v>24</v>
      </c>
      <c r="E18" s="152">
        <v>1.3</v>
      </c>
      <c r="F18" s="152">
        <v>3</v>
      </c>
      <c r="G18" s="152">
        <f aca="true" t="shared" si="1" ref="G18:G24">ROUND(F18*E18,2)</f>
        <v>3.9</v>
      </c>
      <c r="H18" s="134">
        <v>15.5</v>
      </c>
      <c r="I18" s="135">
        <v>1.02</v>
      </c>
      <c r="J18" s="152">
        <f>I18+H18+G18</f>
        <v>20.419999999999998</v>
      </c>
      <c r="K18" s="134">
        <f aca="true" t="shared" si="2" ref="K18:K27">D18*E18</f>
        <v>31.200000000000003</v>
      </c>
      <c r="L18" s="134">
        <f aca="true" t="shared" si="3" ref="L18:L27">D18*G18</f>
        <v>93.6</v>
      </c>
      <c r="M18" s="136">
        <f aca="true" t="shared" si="4" ref="M18:M27">D18*H18</f>
        <v>372</v>
      </c>
      <c r="N18" s="134">
        <f aca="true" t="shared" si="5" ref="N18:N27">D18*I18</f>
        <v>24.48</v>
      </c>
      <c r="O18" s="134">
        <f aca="true" t="shared" si="6" ref="O18:O27">L18+M18+N18</f>
        <v>490.08000000000004</v>
      </c>
      <c r="P18" s="134">
        <v>21.68</v>
      </c>
    </row>
    <row r="19" spans="1:16" ht="41.25" customHeight="1">
      <c r="A19" s="229">
        <f t="shared" si="0"/>
        <v>3</v>
      </c>
      <c r="B19" s="178" t="s">
        <v>572</v>
      </c>
      <c r="C19" s="131" t="s">
        <v>10</v>
      </c>
      <c r="D19" s="166">
        <v>21</v>
      </c>
      <c r="E19" s="152">
        <v>1.3</v>
      </c>
      <c r="F19" s="152">
        <v>3</v>
      </c>
      <c r="G19" s="152">
        <f>E19*F19</f>
        <v>3.9000000000000004</v>
      </c>
      <c r="H19" s="134">
        <v>21</v>
      </c>
      <c r="I19" s="135">
        <v>1.31</v>
      </c>
      <c r="J19" s="152">
        <f>I19+H19+G19</f>
        <v>26.21</v>
      </c>
      <c r="K19" s="134">
        <f t="shared" si="2"/>
        <v>27.3</v>
      </c>
      <c r="L19" s="134">
        <f t="shared" si="3"/>
        <v>81.9</v>
      </c>
      <c r="M19" s="136">
        <f t="shared" si="4"/>
        <v>441</v>
      </c>
      <c r="N19" s="134">
        <f t="shared" si="5"/>
        <v>27.51</v>
      </c>
      <c r="O19" s="134">
        <f t="shared" si="6"/>
        <v>550.41</v>
      </c>
      <c r="P19" s="134">
        <v>29.52</v>
      </c>
    </row>
    <row r="20" spans="1:16" ht="30">
      <c r="A20" s="229">
        <f t="shared" si="0"/>
        <v>4</v>
      </c>
      <c r="B20" s="178" t="s">
        <v>571</v>
      </c>
      <c r="C20" s="131" t="s">
        <v>10</v>
      </c>
      <c r="D20" s="166">
        <v>39</v>
      </c>
      <c r="E20" s="152">
        <v>1.3</v>
      </c>
      <c r="F20" s="152">
        <v>3</v>
      </c>
      <c r="G20" s="152">
        <f t="shared" si="1"/>
        <v>3.9</v>
      </c>
      <c r="H20" s="134">
        <v>22.8</v>
      </c>
      <c r="I20" s="135">
        <v>1.39</v>
      </c>
      <c r="J20" s="152">
        <f aca="true" t="shared" si="7" ref="J20:J25">+I20+H20+G20</f>
        <v>28.09</v>
      </c>
      <c r="K20" s="134">
        <f t="shared" si="2"/>
        <v>50.7</v>
      </c>
      <c r="L20" s="134">
        <f t="shared" si="3"/>
        <v>152.1</v>
      </c>
      <c r="M20" s="136">
        <f t="shared" si="4"/>
        <v>889.2</v>
      </c>
      <c r="N20" s="134">
        <f t="shared" si="5"/>
        <v>54.209999999999994</v>
      </c>
      <c r="O20" s="134">
        <f t="shared" si="6"/>
        <v>1095.51</v>
      </c>
      <c r="P20" s="134">
        <v>34.74</v>
      </c>
    </row>
    <row r="21" spans="1:16" ht="30">
      <c r="A21" s="229">
        <f t="shared" si="0"/>
        <v>5</v>
      </c>
      <c r="B21" s="178" t="s">
        <v>573</v>
      </c>
      <c r="C21" s="131" t="s">
        <v>10</v>
      </c>
      <c r="D21" s="166">
        <v>9</v>
      </c>
      <c r="E21" s="152">
        <v>1.3</v>
      </c>
      <c r="F21" s="152">
        <v>3</v>
      </c>
      <c r="G21" s="152">
        <f t="shared" si="1"/>
        <v>3.9</v>
      </c>
      <c r="H21" s="134">
        <v>25</v>
      </c>
      <c r="I21" s="135">
        <v>1.65</v>
      </c>
      <c r="J21" s="134">
        <f t="shared" si="7"/>
        <v>30.549999999999997</v>
      </c>
      <c r="K21" s="134">
        <f t="shared" si="2"/>
        <v>11.700000000000001</v>
      </c>
      <c r="L21" s="134">
        <f t="shared" si="3"/>
        <v>35.1</v>
      </c>
      <c r="M21" s="136">
        <f t="shared" si="4"/>
        <v>225</v>
      </c>
      <c r="N21" s="134">
        <f t="shared" si="5"/>
        <v>14.85</v>
      </c>
      <c r="O21" s="134">
        <f t="shared" si="6"/>
        <v>274.95000000000005</v>
      </c>
      <c r="P21" s="134">
        <v>39.08</v>
      </c>
    </row>
    <row r="22" spans="1:16" ht="30" customHeight="1">
      <c r="A22" s="229">
        <f t="shared" si="0"/>
        <v>6</v>
      </c>
      <c r="B22" s="178" t="s">
        <v>574</v>
      </c>
      <c r="C22" s="131" t="s">
        <v>10</v>
      </c>
      <c r="D22" s="166">
        <v>18</v>
      </c>
      <c r="E22" s="152">
        <v>1.3</v>
      </c>
      <c r="F22" s="152">
        <v>3</v>
      </c>
      <c r="G22" s="152">
        <f t="shared" si="1"/>
        <v>3.9</v>
      </c>
      <c r="H22" s="134">
        <f>H21/1.2*1.4</f>
        <v>29.166666666666668</v>
      </c>
      <c r="I22" s="135"/>
      <c r="J22" s="134">
        <f t="shared" si="7"/>
        <v>33.06666666666667</v>
      </c>
      <c r="K22" s="134">
        <f t="shared" si="2"/>
        <v>23.400000000000002</v>
      </c>
      <c r="L22" s="134">
        <f t="shared" si="3"/>
        <v>70.2</v>
      </c>
      <c r="M22" s="136">
        <f t="shared" si="4"/>
        <v>525</v>
      </c>
      <c r="N22" s="134">
        <f t="shared" si="5"/>
        <v>0</v>
      </c>
      <c r="O22" s="134">
        <f t="shared" si="6"/>
        <v>595.2</v>
      </c>
      <c r="P22" s="134"/>
    </row>
    <row r="23" spans="1:16" ht="15">
      <c r="A23" s="229">
        <f t="shared" si="0"/>
        <v>7</v>
      </c>
      <c r="B23" s="130" t="s">
        <v>364</v>
      </c>
      <c r="C23" s="131" t="s">
        <v>10</v>
      </c>
      <c r="D23" s="166">
        <v>111</v>
      </c>
      <c r="E23" s="167">
        <v>0.85</v>
      </c>
      <c r="F23" s="152">
        <v>3</v>
      </c>
      <c r="G23" s="152">
        <f t="shared" si="1"/>
        <v>2.55</v>
      </c>
      <c r="H23" s="134">
        <f>P23*0.35</f>
        <v>2.1875</v>
      </c>
      <c r="I23" s="135">
        <v>0.38</v>
      </c>
      <c r="J23" s="152">
        <f t="shared" si="7"/>
        <v>5.1175</v>
      </c>
      <c r="K23" s="134">
        <f t="shared" si="2"/>
        <v>94.35</v>
      </c>
      <c r="L23" s="134">
        <f t="shared" si="3"/>
        <v>283.04999999999995</v>
      </c>
      <c r="M23" s="136">
        <f t="shared" si="4"/>
        <v>242.8125</v>
      </c>
      <c r="N23" s="134">
        <f t="shared" si="5"/>
        <v>42.18</v>
      </c>
      <c r="O23" s="134">
        <f t="shared" si="6"/>
        <v>568.0424999999999</v>
      </c>
      <c r="P23" s="134">
        <v>6.25</v>
      </c>
    </row>
    <row r="24" spans="1:16" ht="15">
      <c r="A24" s="229">
        <f t="shared" si="0"/>
        <v>8</v>
      </c>
      <c r="B24" s="130" t="s">
        <v>365</v>
      </c>
      <c r="C24" s="131" t="s">
        <v>10</v>
      </c>
      <c r="D24" s="166">
        <v>111</v>
      </c>
      <c r="E24" s="131">
        <v>0.05</v>
      </c>
      <c r="F24" s="152">
        <v>3</v>
      </c>
      <c r="G24" s="152">
        <f t="shared" si="1"/>
        <v>0.15</v>
      </c>
      <c r="H24" s="134">
        <f>P24*0.35</f>
        <v>1.4874999999999998</v>
      </c>
      <c r="I24" s="135">
        <v>0.17</v>
      </c>
      <c r="J24" s="134">
        <f t="shared" si="7"/>
        <v>1.8074999999999997</v>
      </c>
      <c r="K24" s="134">
        <f t="shared" si="2"/>
        <v>5.550000000000001</v>
      </c>
      <c r="L24" s="134">
        <f t="shared" si="3"/>
        <v>16.65</v>
      </c>
      <c r="M24" s="136">
        <f t="shared" si="4"/>
        <v>165.11249999999998</v>
      </c>
      <c r="N24" s="134">
        <f t="shared" si="5"/>
        <v>18.87</v>
      </c>
      <c r="O24" s="134">
        <f t="shared" si="6"/>
        <v>200.6325</v>
      </c>
      <c r="P24" s="134">
        <v>4.25</v>
      </c>
    </row>
    <row r="25" spans="1:16" ht="15">
      <c r="A25" s="229">
        <f t="shared" si="0"/>
        <v>9</v>
      </c>
      <c r="B25" s="130" t="s">
        <v>366</v>
      </c>
      <c r="C25" s="131" t="s">
        <v>367</v>
      </c>
      <c r="D25" s="166">
        <v>111</v>
      </c>
      <c r="E25" s="168"/>
      <c r="F25" s="152"/>
      <c r="G25" s="152"/>
      <c r="H25" s="134">
        <f>P25*0.35</f>
        <v>0.385</v>
      </c>
      <c r="I25" s="135">
        <v>0.04</v>
      </c>
      <c r="J25" s="134">
        <f t="shared" si="7"/>
        <v>0.425</v>
      </c>
      <c r="K25" s="134">
        <f t="shared" si="2"/>
        <v>0</v>
      </c>
      <c r="L25" s="134">
        <f t="shared" si="3"/>
        <v>0</v>
      </c>
      <c r="M25" s="136">
        <f t="shared" si="4"/>
        <v>42.735</v>
      </c>
      <c r="N25" s="134">
        <f t="shared" si="5"/>
        <v>4.44</v>
      </c>
      <c r="O25" s="134">
        <f t="shared" si="6"/>
        <v>47.175</v>
      </c>
      <c r="P25" s="134">
        <v>1.1</v>
      </c>
    </row>
    <row r="26" spans="1:16" ht="15">
      <c r="A26" s="229">
        <f t="shared" si="0"/>
        <v>10</v>
      </c>
      <c r="B26" s="130" t="s">
        <v>368</v>
      </c>
      <c r="C26" s="131" t="s">
        <v>367</v>
      </c>
      <c r="D26" s="166">
        <v>111</v>
      </c>
      <c r="E26" s="165"/>
      <c r="F26" s="165"/>
      <c r="G26" s="165"/>
      <c r="H26" s="134">
        <v>0.25</v>
      </c>
      <c r="I26" s="165"/>
      <c r="J26" s="165"/>
      <c r="K26" s="134">
        <f t="shared" si="2"/>
        <v>0</v>
      </c>
      <c r="L26" s="134">
        <f t="shared" si="3"/>
        <v>0</v>
      </c>
      <c r="M26" s="136">
        <f t="shared" si="4"/>
        <v>27.75</v>
      </c>
      <c r="N26" s="134">
        <f t="shared" si="5"/>
        <v>0</v>
      </c>
      <c r="O26" s="134">
        <f t="shared" si="6"/>
        <v>27.75</v>
      </c>
      <c r="P26" s="165"/>
    </row>
    <row r="27" spans="1:16" ht="15">
      <c r="A27" s="229">
        <f t="shared" si="0"/>
        <v>11</v>
      </c>
      <c r="B27" s="130" t="s">
        <v>369</v>
      </c>
      <c r="C27" s="131" t="s">
        <v>367</v>
      </c>
      <c r="D27" s="166">
        <v>111</v>
      </c>
      <c r="E27" s="165"/>
      <c r="F27" s="165"/>
      <c r="G27" s="165"/>
      <c r="H27" s="134">
        <v>0.75</v>
      </c>
      <c r="I27" s="165"/>
      <c r="J27" s="165"/>
      <c r="K27" s="134">
        <f t="shared" si="2"/>
        <v>0</v>
      </c>
      <c r="L27" s="134">
        <f t="shared" si="3"/>
        <v>0</v>
      </c>
      <c r="M27" s="136">
        <f t="shared" si="4"/>
        <v>83.25</v>
      </c>
      <c r="N27" s="134">
        <f t="shared" si="5"/>
        <v>0</v>
      </c>
      <c r="O27" s="134">
        <f t="shared" si="6"/>
        <v>83.25</v>
      </c>
      <c r="P27" s="165"/>
    </row>
    <row r="28" spans="1:16" ht="15">
      <c r="A28" s="229">
        <f t="shared" si="0"/>
        <v>12</v>
      </c>
      <c r="B28" s="130" t="s">
        <v>370</v>
      </c>
      <c r="C28" s="131" t="s">
        <v>10</v>
      </c>
      <c r="D28" s="166">
        <v>16</v>
      </c>
      <c r="E28" s="168">
        <v>0.1</v>
      </c>
      <c r="F28" s="152">
        <v>3</v>
      </c>
      <c r="G28" s="152">
        <f>+ROUND(F28*E28,2)</f>
        <v>0.3</v>
      </c>
      <c r="H28" s="134">
        <f>P28*0.35</f>
        <v>1.162</v>
      </c>
      <c r="I28" s="135">
        <v>0.18</v>
      </c>
      <c r="J28" s="134">
        <f aca="true" t="shared" si="8" ref="J28:J39">+I28+H28+G28</f>
        <v>1.642</v>
      </c>
      <c r="K28" s="134">
        <f>ROUND(E28*D28,2)</f>
        <v>1.6</v>
      </c>
      <c r="L28" s="134">
        <f>ROUND(G28*D28,2)</f>
        <v>4.8</v>
      </c>
      <c r="M28" s="136">
        <f aca="true" t="shared" si="9" ref="M28:M34">+ROUND(H28*D28,2)</f>
        <v>18.59</v>
      </c>
      <c r="N28" s="134">
        <f>ROUND(I28*D28,2)</f>
        <v>2.88</v>
      </c>
      <c r="O28" s="134">
        <f aca="true" t="shared" si="10" ref="O28:O34">N28+M28+L28</f>
        <v>26.27</v>
      </c>
      <c r="P28" s="134">
        <v>3.32</v>
      </c>
    </row>
    <row r="29" spans="1:16" ht="15">
      <c r="A29" s="229">
        <f t="shared" si="0"/>
        <v>13</v>
      </c>
      <c r="B29" s="130" t="s">
        <v>560</v>
      </c>
      <c r="C29" s="131" t="s">
        <v>3</v>
      </c>
      <c r="D29" s="166">
        <v>790</v>
      </c>
      <c r="E29" s="168">
        <v>0.1</v>
      </c>
      <c r="F29" s="152">
        <v>3</v>
      </c>
      <c r="G29" s="152">
        <f>+ROUND(F29*E29,2)</f>
        <v>0.3</v>
      </c>
      <c r="H29" s="134">
        <v>0.3</v>
      </c>
      <c r="I29" s="135">
        <v>0.08</v>
      </c>
      <c r="J29" s="134">
        <f t="shared" si="8"/>
        <v>0.6799999999999999</v>
      </c>
      <c r="K29" s="134">
        <f>ROUND(E29*D29,2)</f>
        <v>79</v>
      </c>
      <c r="L29" s="134">
        <f>ROUND(G29*D29,2)</f>
        <v>237</v>
      </c>
      <c r="M29" s="136">
        <f t="shared" si="9"/>
        <v>237</v>
      </c>
      <c r="N29" s="134">
        <f>ROUND(I29*D29,2)</f>
        <v>63.2</v>
      </c>
      <c r="O29" s="134">
        <f t="shared" si="10"/>
        <v>537.2</v>
      </c>
      <c r="P29" s="169"/>
    </row>
    <row r="30" spans="1:16" ht="15">
      <c r="A30" s="229">
        <f t="shared" si="0"/>
        <v>14</v>
      </c>
      <c r="B30" s="130" t="s">
        <v>561</v>
      </c>
      <c r="C30" s="131" t="s">
        <v>3</v>
      </c>
      <c r="D30" s="166">
        <v>255</v>
      </c>
      <c r="E30" s="168">
        <v>0.1</v>
      </c>
      <c r="F30" s="152">
        <v>3</v>
      </c>
      <c r="G30" s="152">
        <f>+ROUND(F30*E30,2)</f>
        <v>0.3</v>
      </c>
      <c r="H30" s="134">
        <v>0.4</v>
      </c>
      <c r="I30" s="135">
        <v>0.1</v>
      </c>
      <c r="J30" s="134">
        <f t="shared" si="8"/>
        <v>0.8</v>
      </c>
      <c r="K30" s="134">
        <f>ROUND(E30*D30,2)</f>
        <v>25.5</v>
      </c>
      <c r="L30" s="134">
        <f>ROUND(G30*D30,2)</f>
        <v>76.5</v>
      </c>
      <c r="M30" s="136">
        <f t="shared" si="9"/>
        <v>102</v>
      </c>
      <c r="N30" s="134">
        <f>ROUND(I30*D30,2)</f>
        <v>25.5</v>
      </c>
      <c r="O30" s="134">
        <f t="shared" si="10"/>
        <v>204</v>
      </c>
      <c r="P30" s="169"/>
    </row>
    <row r="31" spans="1:16" ht="15">
      <c r="A31" s="229">
        <f t="shared" si="0"/>
        <v>15</v>
      </c>
      <c r="B31" s="130" t="s">
        <v>562</v>
      </c>
      <c r="C31" s="131" t="s">
        <v>3</v>
      </c>
      <c r="D31" s="166">
        <v>220</v>
      </c>
      <c r="E31" s="168">
        <v>0.1</v>
      </c>
      <c r="F31" s="152">
        <v>3</v>
      </c>
      <c r="G31" s="152">
        <f>+ROUND(F31*E31,2)</f>
        <v>0.3</v>
      </c>
      <c r="H31" s="134">
        <v>0.35</v>
      </c>
      <c r="I31" s="135">
        <v>0.11</v>
      </c>
      <c r="J31" s="134">
        <f t="shared" si="8"/>
        <v>0.76</v>
      </c>
      <c r="K31" s="134">
        <f>ROUND(E31*D31,2)</f>
        <v>22</v>
      </c>
      <c r="L31" s="134">
        <f>ROUND(G31*D31,2)</f>
        <v>66</v>
      </c>
      <c r="M31" s="136">
        <f t="shared" si="9"/>
        <v>77</v>
      </c>
      <c r="N31" s="134">
        <f>ROUND(I31*D31,2)</f>
        <v>24.2</v>
      </c>
      <c r="O31" s="134">
        <f t="shared" si="10"/>
        <v>167.2</v>
      </c>
      <c r="P31" s="169"/>
    </row>
    <row r="32" spans="1:16" ht="15">
      <c r="A32" s="229">
        <f t="shared" si="0"/>
        <v>16</v>
      </c>
      <c r="B32" s="130" t="s">
        <v>567</v>
      </c>
      <c r="C32" s="131" t="s">
        <v>3</v>
      </c>
      <c r="D32" s="166">
        <v>50</v>
      </c>
      <c r="E32" s="168">
        <v>0.1</v>
      </c>
      <c r="F32" s="152">
        <v>3</v>
      </c>
      <c r="G32" s="152">
        <f>+ROUND(F32*E32,2)</f>
        <v>0.3</v>
      </c>
      <c r="H32" s="134">
        <v>0.65</v>
      </c>
      <c r="I32" s="135">
        <v>0.11</v>
      </c>
      <c r="J32" s="134">
        <f t="shared" si="8"/>
        <v>1.06</v>
      </c>
      <c r="K32" s="134">
        <f>ROUND(E32*D32,2)</f>
        <v>5</v>
      </c>
      <c r="L32" s="134">
        <f>ROUND(G32*D32,2)</f>
        <v>15</v>
      </c>
      <c r="M32" s="136">
        <f t="shared" si="9"/>
        <v>32.5</v>
      </c>
      <c r="N32" s="134">
        <f>ROUND(I32*D32,2)</f>
        <v>5.5</v>
      </c>
      <c r="O32" s="134">
        <f t="shared" si="10"/>
        <v>53</v>
      </c>
      <c r="P32" s="169"/>
    </row>
    <row r="33" spans="1:16" ht="15">
      <c r="A33" s="229">
        <f t="shared" si="0"/>
        <v>17</v>
      </c>
      <c r="B33" s="130" t="s">
        <v>568</v>
      </c>
      <c r="C33" s="131" t="s">
        <v>138</v>
      </c>
      <c r="D33" s="166">
        <v>1</v>
      </c>
      <c r="E33" s="168"/>
      <c r="F33" s="152"/>
      <c r="G33" s="152"/>
      <c r="H33" s="134">
        <v>120</v>
      </c>
      <c r="I33" s="135"/>
      <c r="J33" s="134">
        <f t="shared" si="8"/>
        <v>120</v>
      </c>
      <c r="K33" s="134"/>
      <c r="L33" s="134"/>
      <c r="M33" s="136">
        <f t="shared" si="9"/>
        <v>120</v>
      </c>
      <c r="N33" s="134"/>
      <c r="O33" s="134">
        <f t="shared" si="10"/>
        <v>120</v>
      </c>
      <c r="P33" s="169"/>
    </row>
    <row r="34" spans="1:16" ht="15">
      <c r="A34" s="229">
        <f t="shared" si="0"/>
        <v>18</v>
      </c>
      <c r="B34" s="130" t="s">
        <v>563</v>
      </c>
      <c r="C34" s="131" t="s">
        <v>3</v>
      </c>
      <c r="D34" s="132">
        <v>50</v>
      </c>
      <c r="E34" s="233">
        <v>0.5</v>
      </c>
      <c r="F34" s="152">
        <v>3</v>
      </c>
      <c r="G34" s="152">
        <f>E34*F34</f>
        <v>1.5</v>
      </c>
      <c r="H34" s="134">
        <v>0.55</v>
      </c>
      <c r="I34" s="135">
        <v>0.35</v>
      </c>
      <c r="J34" s="134">
        <f t="shared" si="8"/>
        <v>2.4</v>
      </c>
      <c r="K34" s="134">
        <f>ROUND(E34*D34,2)</f>
        <v>25</v>
      </c>
      <c r="L34" s="134">
        <f>ROUND(G34*D34,2)</f>
        <v>75</v>
      </c>
      <c r="M34" s="136">
        <f t="shared" si="9"/>
        <v>27.5</v>
      </c>
      <c r="N34" s="134">
        <f>ROUND(I34*D34,2)</f>
        <v>17.5</v>
      </c>
      <c r="O34" s="134">
        <f t="shared" si="10"/>
        <v>120</v>
      </c>
      <c r="P34" s="169"/>
    </row>
    <row r="35" spans="1:16" ht="15">
      <c r="A35" s="229">
        <f t="shared" si="0"/>
        <v>19</v>
      </c>
      <c r="B35" s="130" t="s">
        <v>371</v>
      </c>
      <c r="C35" s="131" t="s">
        <v>3</v>
      </c>
      <c r="D35" s="166">
        <v>61</v>
      </c>
      <c r="E35" s="167">
        <f>G35/F35</f>
        <v>0.6333333333333333</v>
      </c>
      <c r="F35" s="152">
        <v>3</v>
      </c>
      <c r="G35" s="152">
        <v>1.9</v>
      </c>
      <c r="H35" s="134">
        <f>P35*0.35</f>
        <v>0.6755</v>
      </c>
      <c r="I35" s="135">
        <v>0.1</v>
      </c>
      <c r="J35" s="134">
        <f t="shared" si="8"/>
        <v>2.6755</v>
      </c>
      <c r="K35" s="134">
        <f aca="true" t="shared" si="11" ref="K35:K44">D35*E35</f>
        <v>38.63333333333333</v>
      </c>
      <c r="L35" s="134">
        <f aca="true" t="shared" si="12" ref="L35:L44">D35*G35</f>
        <v>115.89999999999999</v>
      </c>
      <c r="M35" s="136">
        <f aca="true" t="shared" si="13" ref="M35:M44">D35*H35</f>
        <v>41.2055</v>
      </c>
      <c r="N35" s="134">
        <f aca="true" t="shared" si="14" ref="N35:N44">D35*I35</f>
        <v>6.1000000000000005</v>
      </c>
      <c r="O35" s="134">
        <f aca="true" t="shared" si="15" ref="O35:O44">L35+M35+N35</f>
        <v>163.2055</v>
      </c>
      <c r="P35" s="134">
        <v>1.93</v>
      </c>
    </row>
    <row r="36" spans="1:16" ht="15">
      <c r="A36" s="229">
        <f t="shared" si="0"/>
        <v>20</v>
      </c>
      <c r="B36" s="130" t="s">
        <v>372</v>
      </c>
      <c r="C36" s="131" t="s">
        <v>3</v>
      </c>
      <c r="D36" s="166">
        <v>65</v>
      </c>
      <c r="E36" s="167">
        <f>G36/F36</f>
        <v>0.6333333333333333</v>
      </c>
      <c r="F36" s="152">
        <v>3</v>
      </c>
      <c r="G36" s="152">
        <v>1.9</v>
      </c>
      <c r="H36" s="134">
        <f>P36*0.35</f>
        <v>0.84</v>
      </c>
      <c r="I36" s="135">
        <v>0.1</v>
      </c>
      <c r="J36" s="134">
        <f t="shared" si="8"/>
        <v>2.84</v>
      </c>
      <c r="K36" s="134">
        <f t="shared" si="11"/>
        <v>41.166666666666664</v>
      </c>
      <c r="L36" s="134">
        <f t="shared" si="12"/>
        <v>123.5</v>
      </c>
      <c r="M36" s="136">
        <f t="shared" si="13"/>
        <v>54.6</v>
      </c>
      <c r="N36" s="134">
        <f t="shared" si="14"/>
        <v>6.5</v>
      </c>
      <c r="O36" s="134">
        <f t="shared" si="15"/>
        <v>184.6</v>
      </c>
      <c r="P36" s="134">
        <v>2.4</v>
      </c>
    </row>
    <row r="37" spans="1:16" ht="15">
      <c r="A37" s="229">
        <f t="shared" si="0"/>
        <v>21</v>
      </c>
      <c r="B37" s="130" t="s">
        <v>373</v>
      </c>
      <c r="C37" s="131" t="s">
        <v>3</v>
      </c>
      <c r="D37" s="166">
        <v>20</v>
      </c>
      <c r="E37" s="167">
        <f>G37/F37</f>
        <v>0.6666666666666666</v>
      </c>
      <c r="F37" s="152">
        <v>3</v>
      </c>
      <c r="G37" s="152">
        <v>2</v>
      </c>
      <c r="H37" s="134">
        <f>P37*0.35</f>
        <v>0.9939999999999999</v>
      </c>
      <c r="I37" s="135">
        <v>0.1</v>
      </c>
      <c r="J37" s="134">
        <f t="shared" si="8"/>
        <v>3.094</v>
      </c>
      <c r="K37" s="134">
        <f t="shared" si="11"/>
        <v>13.333333333333332</v>
      </c>
      <c r="L37" s="134">
        <f t="shared" si="12"/>
        <v>40</v>
      </c>
      <c r="M37" s="136">
        <f t="shared" si="13"/>
        <v>19.88</v>
      </c>
      <c r="N37" s="134">
        <f t="shared" si="14"/>
        <v>2</v>
      </c>
      <c r="O37" s="134">
        <f t="shared" si="15"/>
        <v>61.879999999999995</v>
      </c>
      <c r="P37" s="134">
        <v>2.84</v>
      </c>
    </row>
    <row r="38" spans="1:16" ht="15">
      <c r="A38" s="229">
        <f t="shared" si="0"/>
        <v>22</v>
      </c>
      <c r="B38" s="130" t="s">
        <v>374</v>
      </c>
      <c r="C38" s="131" t="s">
        <v>3</v>
      </c>
      <c r="D38" s="170">
        <v>28</v>
      </c>
      <c r="E38" s="171">
        <f>G38/F38</f>
        <v>0.6666666666666666</v>
      </c>
      <c r="F38" s="152">
        <v>3</v>
      </c>
      <c r="G38" s="152">
        <v>2</v>
      </c>
      <c r="H38" s="134">
        <f>P38*0.35</f>
        <v>1.3579999999999999</v>
      </c>
      <c r="I38" s="135">
        <v>0.1</v>
      </c>
      <c r="J38" s="134">
        <f t="shared" si="8"/>
        <v>3.458</v>
      </c>
      <c r="K38" s="134">
        <f t="shared" si="11"/>
        <v>18.666666666666664</v>
      </c>
      <c r="L38" s="134">
        <f t="shared" si="12"/>
        <v>56</v>
      </c>
      <c r="M38" s="136">
        <f t="shared" si="13"/>
        <v>38.023999999999994</v>
      </c>
      <c r="N38" s="134">
        <f t="shared" si="14"/>
        <v>2.8000000000000003</v>
      </c>
      <c r="O38" s="134">
        <f t="shared" si="15"/>
        <v>96.824</v>
      </c>
      <c r="P38" s="134">
        <v>3.88</v>
      </c>
    </row>
    <row r="39" spans="1:16" ht="15">
      <c r="A39" s="229">
        <f t="shared" si="0"/>
        <v>23</v>
      </c>
      <c r="B39" s="172" t="s">
        <v>569</v>
      </c>
      <c r="C39" s="173" t="s">
        <v>138</v>
      </c>
      <c r="D39" s="174">
        <v>1</v>
      </c>
      <c r="E39" s="171"/>
      <c r="F39" s="152"/>
      <c r="G39" s="152"/>
      <c r="H39" s="134">
        <v>150</v>
      </c>
      <c r="I39" s="135"/>
      <c r="J39" s="134">
        <f t="shared" si="8"/>
        <v>150</v>
      </c>
      <c r="K39" s="134">
        <f t="shared" si="11"/>
        <v>0</v>
      </c>
      <c r="L39" s="134">
        <f t="shared" si="12"/>
        <v>0</v>
      </c>
      <c r="M39" s="136">
        <f t="shared" si="13"/>
        <v>150</v>
      </c>
      <c r="N39" s="134">
        <f t="shared" si="14"/>
        <v>0</v>
      </c>
      <c r="O39" s="134">
        <f t="shared" si="15"/>
        <v>150</v>
      </c>
      <c r="P39" s="134"/>
    </row>
    <row r="40" spans="1:16" ht="15">
      <c r="A40" s="229">
        <f t="shared" si="0"/>
        <v>24</v>
      </c>
      <c r="B40" s="172" t="s">
        <v>554</v>
      </c>
      <c r="C40" s="173" t="s">
        <v>10</v>
      </c>
      <c r="D40" s="174">
        <v>104</v>
      </c>
      <c r="E40" s="171">
        <f>G40/F40</f>
        <v>0.6266666666666666</v>
      </c>
      <c r="F40" s="152">
        <v>3</v>
      </c>
      <c r="G40" s="152">
        <v>1.88</v>
      </c>
      <c r="H40" s="134">
        <v>2.09</v>
      </c>
      <c r="I40" s="135"/>
      <c r="J40" s="134"/>
      <c r="K40" s="134">
        <f t="shared" si="11"/>
        <v>65.17333333333333</v>
      </c>
      <c r="L40" s="134">
        <f t="shared" si="12"/>
        <v>195.51999999999998</v>
      </c>
      <c r="M40" s="136">
        <f t="shared" si="13"/>
        <v>217.35999999999999</v>
      </c>
      <c r="N40" s="134">
        <f t="shared" si="14"/>
        <v>0</v>
      </c>
      <c r="O40" s="134">
        <f t="shared" si="15"/>
        <v>412.88</v>
      </c>
      <c r="P40" s="134"/>
    </row>
    <row r="41" spans="1:16" ht="15">
      <c r="A41" s="229">
        <f t="shared" si="0"/>
        <v>25</v>
      </c>
      <c r="B41" s="130" t="s">
        <v>375</v>
      </c>
      <c r="C41" s="131" t="s">
        <v>10</v>
      </c>
      <c r="D41" s="170">
        <v>4</v>
      </c>
      <c r="E41" s="171">
        <f>G41/F41</f>
        <v>0.3333333333333333</v>
      </c>
      <c r="F41" s="152">
        <v>3</v>
      </c>
      <c r="G41" s="152">
        <v>1</v>
      </c>
      <c r="H41" s="134">
        <f>P41*0.35</f>
        <v>7.3535</v>
      </c>
      <c r="I41" s="135">
        <v>0.82</v>
      </c>
      <c r="J41" s="134">
        <f aca="true" t="shared" si="16" ref="J41:J49">+I41+H41+G41</f>
        <v>9.1735</v>
      </c>
      <c r="K41" s="134">
        <f t="shared" si="11"/>
        <v>1.3333333333333333</v>
      </c>
      <c r="L41" s="134">
        <f t="shared" si="12"/>
        <v>4</v>
      </c>
      <c r="M41" s="136">
        <f t="shared" si="13"/>
        <v>29.414</v>
      </c>
      <c r="N41" s="134">
        <f t="shared" si="14"/>
        <v>3.28</v>
      </c>
      <c r="O41" s="134">
        <f t="shared" si="15"/>
        <v>36.694</v>
      </c>
      <c r="P41" s="134">
        <v>21.01</v>
      </c>
    </row>
    <row r="42" spans="1:16" ht="15">
      <c r="A42" s="229">
        <f t="shared" si="0"/>
        <v>26</v>
      </c>
      <c r="B42" s="130" t="s">
        <v>376</v>
      </c>
      <c r="C42" s="131" t="s">
        <v>10</v>
      </c>
      <c r="D42" s="170">
        <v>4</v>
      </c>
      <c r="E42" s="171">
        <f>G42/F42</f>
        <v>0.3333333333333333</v>
      </c>
      <c r="F42" s="152">
        <v>3</v>
      </c>
      <c r="G42" s="152">
        <v>1</v>
      </c>
      <c r="H42" s="134">
        <f>P42*0.35</f>
        <v>7.664999999999999</v>
      </c>
      <c r="I42" s="135">
        <v>0.87</v>
      </c>
      <c r="J42" s="134">
        <f t="shared" si="16"/>
        <v>9.534999999999998</v>
      </c>
      <c r="K42" s="134">
        <f t="shared" si="11"/>
        <v>1.3333333333333333</v>
      </c>
      <c r="L42" s="134">
        <f t="shared" si="12"/>
        <v>4</v>
      </c>
      <c r="M42" s="136">
        <f t="shared" si="13"/>
        <v>30.659999999999997</v>
      </c>
      <c r="N42" s="134">
        <f t="shared" si="14"/>
        <v>3.48</v>
      </c>
      <c r="O42" s="134">
        <f t="shared" si="15"/>
        <v>38.13999999999999</v>
      </c>
      <c r="P42" s="134">
        <v>21.9</v>
      </c>
    </row>
    <row r="43" spans="1:16" ht="15" customHeight="1">
      <c r="A43" s="229">
        <f t="shared" si="0"/>
        <v>27</v>
      </c>
      <c r="B43" s="130" t="s">
        <v>555</v>
      </c>
      <c r="C43" s="131" t="s">
        <v>10</v>
      </c>
      <c r="D43" s="170">
        <v>24</v>
      </c>
      <c r="E43" s="171">
        <f>G43/F43</f>
        <v>0.3133333333333333</v>
      </c>
      <c r="F43" s="152">
        <v>3</v>
      </c>
      <c r="G43" s="152">
        <v>0.94</v>
      </c>
      <c r="H43" s="134">
        <v>1.32</v>
      </c>
      <c r="I43" s="135"/>
      <c r="J43" s="134">
        <f t="shared" si="16"/>
        <v>2.26</v>
      </c>
      <c r="K43" s="134">
        <f t="shared" si="11"/>
        <v>7.52</v>
      </c>
      <c r="L43" s="134">
        <f t="shared" si="12"/>
        <v>22.56</v>
      </c>
      <c r="M43" s="136">
        <f t="shared" si="13"/>
        <v>31.68</v>
      </c>
      <c r="N43" s="134">
        <f t="shared" si="14"/>
        <v>0</v>
      </c>
      <c r="O43" s="134">
        <f t="shared" si="15"/>
        <v>54.239999999999995</v>
      </c>
      <c r="P43" s="134"/>
    </row>
    <row r="44" spans="1:16" ht="15">
      <c r="A44" s="229">
        <f t="shared" si="0"/>
        <v>28</v>
      </c>
      <c r="B44" s="130" t="s">
        <v>556</v>
      </c>
      <c r="C44" s="131" t="s">
        <v>10</v>
      </c>
      <c r="D44" s="170">
        <v>24</v>
      </c>
      <c r="E44" s="171">
        <f>G44/F44</f>
        <v>0.3133333333333333</v>
      </c>
      <c r="F44" s="152">
        <v>3</v>
      </c>
      <c r="G44" s="152">
        <v>0.94</v>
      </c>
      <c r="H44" s="134">
        <v>1.59</v>
      </c>
      <c r="I44" s="135"/>
      <c r="J44" s="134">
        <f t="shared" si="16"/>
        <v>2.5300000000000002</v>
      </c>
      <c r="K44" s="134">
        <f t="shared" si="11"/>
        <v>7.52</v>
      </c>
      <c r="L44" s="134">
        <f t="shared" si="12"/>
        <v>22.56</v>
      </c>
      <c r="M44" s="136">
        <f t="shared" si="13"/>
        <v>38.160000000000004</v>
      </c>
      <c r="N44" s="134">
        <f t="shared" si="14"/>
        <v>0</v>
      </c>
      <c r="O44" s="134">
        <f t="shared" si="15"/>
        <v>60.72</v>
      </c>
      <c r="P44" s="134"/>
    </row>
    <row r="45" spans="1:16" ht="15">
      <c r="A45" s="229">
        <f t="shared" si="0"/>
        <v>29</v>
      </c>
      <c r="B45" s="130" t="s">
        <v>377</v>
      </c>
      <c r="C45" s="131" t="s">
        <v>10</v>
      </c>
      <c r="D45" s="170">
        <v>24</v>
      </c>
      <c r="E45" s="171">
        <v>2.2</v>
      </c>
      <c r="F45" s="152">
        <v>3</v>
      </c>
      <c r="G45" s="152">
        <f>+ROUND(F45*E45,2)</f>
        <v>6.6</v>
      </c>
      <c r="H45" s="134">
        <v>67</v>
      </c>
      <c r="I45" s="135">
        <v>3.95</v>
      </c>
      <c r="J45" s="134">
        <f t="shared" si="16"/>
        <v>77.55</v>
      </c>
      <c r="K45" s="134">
        <f aca="true" t="shared" si="17" ref="K45:K50">D45*E45</f>
        <v>52.800000000000004</v>
      </c>
      <c r="L45" s="134">
        <f aca="true" t="shared" si="18" ref="L45:L50">D45*G45</f>
        <v>158.39999999999998</v>
      </c>
      <c r="M45" s="136">
        <f aca="true" t="shared" si="19" ref="M45:M50">D45*H45</f>
        <v>1608</v>
      </c>
      <c r="N45" s="134">
        <f aca="true" t="shared" si="20" ref="N45:N50">D45*I45</f>
        <v>94.80000000000001</v>
      </c>
      <c r="O45" s="134">
        <f aca="true" t="shared" si="21" ref="O45:O50">L45+M45+N45</f>
        <v>1861.2</v>
      </c>
      <c r="P45" s="134">
        <v>98.35</v>
      </c>
    </row>
    <row r="46" spans="1:19" ht="15">
      <c r="A46" s="229">
        <f t="shared" si="0"/>
        <v>30</v>
      </c>
      <c r="B46" s="176" t="s">
        <v>389</v>
      </c>
      <c r="C46" s="131" t="s">
        <v>10</v>
      </c>
      <c r="D46" s="177">
        <v>24</v>
      </c>
      <c r="E46" s="171">
        <v>3</v>
      </c>
      <c r="F46" s="152">
        <v>3</v>
      </c>
      <c r="G46" s="152">
        <f>+ROUND(F46*E46,2)</f>
        <v>9</v>
      </c>
      <c r="H46" s="134">
        <v>14.93</v>
      </c>
      <c r="I46" s="135">
        <v>2.31</v>
      </c>
      <c r="J46" s="134">
        <f t="shared" si="16"/>
        <v>26.24</v>
      </c>
      <c r="K46" s="134">
        <f t="shared" si="17"/>
        <v>72</v>
      </c>
      <c r="L46" s="134">
        <f t="shared" si="18"/>
        <v>216</v>
      </c>
      <c r="M46" s="136">
        <f t="shared" si="19"/>
        <v>358.32</v>
      </c>
      <c r="N46" s="134">
        <f t="shared" si="20"/>
        <v>55.44</v>
      </c>
      <c r="O46" s="134">
        <f t="shared" si="21"/>
        <v>629.76</v>
      </c>
      <c r="P46" s="134">
        <v>49.75</v>
      </c>
      <c r="R46" s="149">
        <v>482.24</v>
      </c>
      <c r="S46" s="149" t="s">
        <v>557</v>
      </c>
    </row>
    <row r="47" spans="1:16" ht="15">
      <c r="A47" s="229">
        <f t="shared" si="0"/>
        <v>31</v>
      </c>
      <c r="B47" s="130" t="s">
        <v>570</v>
      </c>
      <c r="C47" s="131" t="s">
        <v>3</v>
      </c>
      <c r="D47" s="170">
        <v>790</v>
      </c>
      <c r="E47" s="168">
        <v>0.12</v>
      </c>
      <c r="F47" s="152">
        <v>3</v>
      </c>
      <c r="G47" s="152">
        <f>+ROUND(F47*E47,2)</f>
        <v>0.36</v>
      </c>
      <c r="H47" s="134">
        <v>0.55</v>
      </c>
      <c r="I47" s="135">
        <v>0.04</v>
      </c>
      <c r="J47" s="134">
        <f t="shared" si="16"/>
        <v>0.9500000000000001</v>
      </c>
      <c r="K47" s="134">
        <f>ROUND(E47*D47,2)</f>
        <v>94.8</v>
      </c>
      <c r="L47" s="134">
        <f>ROUND(G47*D47,2)</f>
        <v>284.4</v>
      </c>
      <c r="M47" s="136">
        <f>+ROUND(H47*D47,2)</f>
        <v>434.5</v>
      </c>
      <c r="N47" s="134">
        <f>ROUND(I47*D47,2)</f>
        <v>31.6</v>
      </c>
      <c r="O47" s="134">
        <f>N47+M47+L47</f>
        <v>750.5</v>
      </c>
      <c r="P47" s="134"/>
    </row>
    <row r="48" spans="1:16" ht="15">
      <c r="A48" s="229">
        <f t="shared" si="0"/>
        <v>32</v>
      </c>
      <c r="B48" s="130" t="s">
        <v>378</v>
      </c>
      <c r="C48" s="131" t="s">
        <v>3</v>
      </c>
      <c r="D48" s="170">
        <v>255</v>
      </c>
      <c r="E48" s="171">
        <v>0.12</v>
      </c>
      <c r="F48" s="152">
        <v>4.3</v>
      </c>
      <c r="G48" s="152">
        <v>0.5</v>
      </c>
      <c r="H48" s="134">
        <f>P48*0.35</f>
        <v>0.12249999999999998</v>
      </c>
      <c r="I48" s="135">
        <v>0.04</v>
      </c>
      <c r="J48" s="134">
        <f t="shared" si="16"/>
        <v>0.6625</v>
      </c>
      <c r="K48" s="134">
        <f t="shared" si="17"/>
        <v>30.599999999999998</v>
      </c>
      <c r="L48" s="134">
        <f t="shared" si="18"/>
        <v>127.5</v>
      </c>
      <c r="M48" s="136">
        <f t="shared" si="19"/>
        <v>31.237499999999997</v>
      </c>
      <c r="N48" s="134">
        <f t="shared" si="20"/>
        <v>10.200000000000001</v>
      </c>
      <c r="O48" s="134">
        <f t="shared" si="21"/>
        <v>168.9375</v>
      </c>
      <c r="P48" s="134">
        <v>0.35</v>
      </c>
    </row>
    <row r="49" spans="1:16" ht="15">
      <c r="A49" s="229">
        <f t="shared" si="0"/>
        <v>33</v>
      </c>
      <c r="B49" s="130" t="s">
        <v>379</v>
      </c>
      <c r="C49" s="131" t="s">
        <v>3</v>
      </c>
      <c r="D49" s="170">
        <v>220</v>
      </c>
      <c r="E49" s="171">
        <v>0.12</v>
      </c>
      <c r="F49" s="152">
        <v>4.3</v>
      </c>
      <c r="G49" s="152">
        <v>0.5</v>
      </c>
      <c r="H49" s="134">
        <f>P49*0.35</f>
        <v>0.13999999999999999</v>
      </c>
      <c r="I49" s="135">
        <v>0.04</v>
      </c>
      <c r="J49" s="134">
        <f t="shared" si="16"/>
        <v>0.6799999999999999</v>
      </c>
      <c r="K49" s="134">
        <f t="shared" si="17"/>
        <v>26.4</v>
      </c>
      <c r="L49" s="134">
        <f t="shared" si="18"/>
        <v>110</v>
      </c>
      <c r="M49" s="136">
        <f t="shared" si="19"/>
        <v>30.799999999999997</v>
      </c>
      <c r="N49" s="134">
        <f t="shared" si="20"/>
        <v>8.8</v>
      </c>
      <c r="O49" s="134">
        <f t="shared" si="21"/>
        <v>149.60000000000002</v>
      </c>
      <c r="P49" s="134">
        <v>0.4</v>
      </c>
    </row>
    <row r="50" spans="1:16" ht="12.75" customHeight="1">
      <c r="A50" s="229">
        <f t="shared" si="0"/>
        <v>34</v>
      </c>
      <c r="B50" s="130" t="s">
        <v>558</v>
      </c>
      <c r="C50" s="131" t="s">
        <v>3</v>
      </c>
      <c r="D50" s="170">
        <v>50</v>
      </c>
      <c r="E50" s="171">
        <f>G50/F50</f>
        <v>0.07209302325581396</v>
      </c>
      <c r="F50" s="152">
        <v>4.3</v>
      </c>
      <c r="G50" s="152">
        <v>0.31</v>
      </c>
      <c r="H50" s="134">
        <v>0.53</v>
      </c>
      <c r="I50" s="135"/>
      <c r="J50" s="134"/>
      <c r="K50" s="134">
        <f t="shared" si="17"/>
        <v>3.604651162790698</v>
      </c>
      <c r="L50" s="134">
        <f t="shared" si="18"/>
        <v>15.5</v>
      </c>
      <c r="M50" s="136">
        <f t="shared" si="19"/>
        <v>26.5</v>
      </c>
      <c r="N50" s="134">
        <f t="shared" si="20"/>
        <v>0</v>
      </c>
      <c r="O50" s="134">
        <f t="shared" si="21"/>
        <v>42</v>
      </c>
      <c r="P50" s="134"/>
    </row>
    <row r="51" spans="1:16" ht="15">
      <c r="A51" s="229">
        <f t="shared" si="0"/>
        <v>35</v>
      </c>
      <c r="B51" s="130" t="s">
        <v>380</v>
      </c>
      <c r="C51" s="131" t="s">
        <v>3</v>
      </c>
      <c r="D51" s="170">
        <v>61</v>
      </c>
      <c r="E51" s="171">
        <v>0.12</v>
      </c>
      <c r="F51" s="152">
        <v>4.3</v>
      </c>
      <c r="G51" s="152">
        <v>0.5</v>
      </c>
      <c r="H51" s="134">
        <v>1</v>
      </c>
      <c r="I51" s="135">
        <v>0.08</v>
      </c>
      <c r="J51" s="134">
        <f aca="true" t="shared" si="22" ref="J51:J57">+I51+H51+G51</f>
        <v>1.58</v>
      </c>
      <c r="K51" s="134">
        <f aca="true" t="shared" si="23" ref="K51:K56">D51*E51</f>
        <v>7.319999999999999</v>
      </c>
      <c r="L51" s="134">
        <f aca="true" t="shared" si="24" ref="L51:L56">D51*G51</f>
        <v>30.5</v>
      </c>
      <c r="M51" s="136">
        <f aca="true" t="shared" si="25" ref="M51:M56">D51*H51</f>
        <v>61</v>
      </c>
      <c r="N51" s="134">
        <f aca="true" t="shared" si="26" ref="N51:N56">D51*I51</f>
        <v>4.88</v>
      </c>
      <c r="O51" s="134">
        <f aca="true" t="shared" si="27" ref="O51:O56">L51+M51+N51</f>
        <v>96.38</v>
      </c>
      <c r="P51" s="134">
        <v>1.46</v>
      </c>
    </row>
    <row r="52" spans="1:16" ht="15">
      <c r="A52" s="229">
        <f t="shared" si="0"/>
        <v>36</v>
      </c>
      <c r="B52" s="130" t="s">
        <v>381</v>
      </c>
      <c r="C52" s="131" t="s">
        <v>3</v>
      </c>
      <c r="D52" s="170">
        <v>65</v>
      </c>
      <c r="E52" s="171">
        <v>0.12</v>
      </c>
      <c r="F52" s="152">
        <v>4.3</v>
      </c>
      <c r="G52" s="152">
        <v>0.5</v>
      </c>
      <c r="H52" s="134">
        <v>1</v>
      </c>
      <c r="I52" s="135">
        <v>0.1</v>
      </c>
      <c r="J52" s="134">
        <f t="shared" si="22"/>
        <v>1.6</v>
      </c>
      <c r="K52" s="134">
        <f t="shared" si="23"/>
        <v>7.8</v>
      </c>
      <c r="L52" s="134">
        <f t="shared" si="24"/>
        <v>32.5</v>
      </c>
      <c r="M52" s="136">
        <f t="shared" si="25"/>
        <v>65</v>
      </c>
      <c r="N52" s="134">
        <f t="shared" si="26"/>
        <v>6.5</v>
      </c>
      <c r="O52" s="134">
        <f t="shared" si="27"/>
        <v>104</v>
      </c>
      <c r="P52" s="134">
        <v>1.65</v>
      </c>
    </row>
    <row r="53" spans="1:16" ht="15">
      <c r="A53" s="229">
        <f t="shared" si="0"/>
        <v>37</v>
      </c>
      <c r="B53" s="130" t="s">
        <v>382</v>
      </c>
      <c r="C53" s="131" t="s">
        <v>3</v>
      </c>
      <c r="D53" s="170">
        <v>20</v>
      </c>
      <c r="E53" s="175">
        <v>0.12</v>
      </c>
      <c r="F53" s="152">
        <v>4.3</v>
      </c>
      <c r="G53" s="152">
        <v>0.5</v>
      </c>
      <c r="H53" s="134">
        <v>1</v>
      </c>
      <c r="I53" s="135">
        <v>0.11</v>
      </c>
      <c r="J53" s="134">
        <f t="shared" si="22"/>
        <v>1.61</v>
      </c>
      <c r="K53" s="134">
        <f t="shared" si="23"/>
        <v>2.4</v>
      </c>
      <c r="L53" s="134">
        <f t="shared" si="24"/>
        <v>10</v>
      </c>
      <c r="M53" s="136">
        <f t="shared" si="25"/>
        <v>20</v>
      </c>
      <c r="N53" s="134">
        <f t="shared" si="26"/>
        <v>2.2</v>
      </c>
      <c r="O53" s="134">
        <f t="shared" si="27"/>
        <v>32.2</v>
      </c>
      <c r="P53" s="134">
        <v>2.21</v>
      </c>
    </row>
    <row r="54" spans="1:16" ht="15">
      <c r="A54" s="229">
        <f t="shared" si="0"/>
        <v>38</v>
      </c>
      <c r="B54" s="130" t="s">
        <v>383</v>
      </c>
      <c r="C54" s="131" t="s">
        <v>3</v>
      </c>
      <c r="D54" s="170">
        <v>28</v>
      </c>
      <c r="E54" s="171">
        <v>0.15</v>
      </c>
      <c r="F54" s="152">
        <v>4.3</v>
      </c>
      <c r="G54" s="152">
        <v>0.5</v>
      </c>
      <c r="H54" s="134">
        <v>2.2</v>
      </c>
      <c r="I54" s="135">
        <v>0.11</v>
      </c>
      <c r="J54" s="134">
        <f t="shared" si="22"/>
        <v>2.81</v>
      </c>
      <c r="K54" s="134">
        <f t="shared" si="23"/>
        <v>4.2</v>
      </c>
      <c r="L54" s="134">
        <f t="shared" si="24"/>
        <v>14</v>
      </c>
      <c r="M54" s="136">
        <f t="shared" si="25"/>
        <v>61.60000000000001</v>
      </c>
      <c r="N54" s="134">
        <f t="shared" si="26"/>
        <v>3.08</v>
      </c>
      <c r="O54" s="134">
        <f t="shared" si="27"/>
        <v>78.68</v>
      </c>
      <c r="P54" s="134">
        <v>2.38</v>
      </c>
    </row>
    <row r="55" spans="1:16" ht="15">
      <c r="A55" s="229">
        <f t="shared" si="0"/>
        <v>39</v>
      </c>
      <c r="B55" s="130" t="s">
        <v>384</v>
      </c>
      <c r="C55" s="131" t="s">
        <v>367</v>
      </c>
      <c r="D55" s="170">
        <v>1</v>
      </c>
      <c r="E55" s="175"/>
      <c r="F55" s="152"/>
      <c r="G55" s="152"/>
      <c r="H55" s="134">
        <v>145</v>
      </c>
      <c r="I55" s="135">
        <v>30</v>
      </c>
      <c r="J55" s="134">
        <f t="shared" si="22"/>
        <v>175</v>
      </c>
      <c r="K55" s="134">
        <f t="shared" si="23"/>
        <v>0</v>
      </c>
      <c r="L55" s="134">
        <f t="shared" si="24"/>
        <v>0</v>
      </c>
      <c r="M55" s="136">
        <f t="shared" si="25"/>
        <v>145</v>
      </c>
      <c r="N55" s="134">
        <f t="shared" si="26"/>
        <v>30</v>
      </c>
      <c r="O55" s="134">
        <f t="shared" si="27"/>
        <v>175</v>
      </c>
      <c r="P55" s="134">
        <v>150</v>
      </c>
    </row>
    <row r="56" spans="1:16" ht="27.75" customHeight="1">
      <c r="A56" s="229">
        <f t="shared" si="0"/>
        <v>40</v>
      </c>
      <c r="B56" s="179" t="s">
        <v>385</v>
      </c>
      <c r="C56" s="131" t="s">
        <v>367</v>
      </c>
      <c r="D56" s="170">
        <v>1</v>
      </c>
      <c r="E56" s="175"/>
      <c r="F56" s="152"/>
      <c r="G56" s="152"/>
      <c r="H56" s="134">
        <v>65</v>
      </c>
      <c r="I56" s="135">
        <v>2.4</v>
      </c>
      <c r="J56" s="134">
        <f t="shared" si="22"/>
        <v>67.4</v>
      </c>
      <c r="K56" s="134">
        <f t="shared" si="23"/>
        <v>0</v>
      </c>
      <c r="L56" s="134">
        <f t="shared" si="24"/>
        <v>0</v>
      </c>
      <c r="M56" s="136">
        <f t="shared" si="25"/>
        <v>65</v>
      </c>
      <c r="N56" s="134">
        <f t="shared" si="26"/>
        <v>2.4</v>
      </c>
      <c r="O56" s="134">
        <f t="shared" si="27"/>
        <v>67.4</v>
      </c>
      <c r="P56" s="134">
        <v>30</v>
      </c>
    </row>
    <row r="57" spans="1:16" ht="27.75" customHeight="1">
      <c r="A57" s="229">
        <f t="shared" si="0"/>
        <v>41</v>
      </c>
      <c r="B57" s="130" t="s">
        <v>564</v>
      </c>
      <c r="C57" s="131" t="s">
        <v>367</v>
      </c>
      <c r="D57" s="166">
        <v>1</v>
      </c>
      <c r="E57" s="175"/>
      <c r="F57" s="152"/>
      <c r="G57" s="152"/>
      <c r="H57" s="134">
        <v>51.1</v>
      </c>
      <c r="I57" s="135">
        <v>4.8</v>
      </c>
      <c r="J57" s="134">
        <f t="shared" si="22"/>
        <v>55.9</v>
      </c>
      <c r="K57" s="134"/>
      <c r="L57" s="134"/>
      <c r="M57" s="136">
        <f>+ROUND(H57*D57,2)</f>
        <v>51.1</v>
      </c>
      <c r="N57" s="134"/>
      <c r="O57" s="134">
        <f>N57+M57+L57</f>
        <v>51.1</v>
      </c>
      <c r="P57" s="134">
        <v>55</v>
      </c>
    </row>
    <row r="58" spans="1:16" ht="15" customHeight="1">
      <c r="A58" s="229">
        <f t="shared" si="0"/>
        <v>42</v>
      </c>
      <c r="B58" s="232" t="s">
        <v>386</v>
      </c>
      <c r="C58" s="230"/>
      <c r="D58" s="231"/>
      <c r="E58" s="180"/>
      <c r="F58" s="181"/>
      <c r="G58" s="181"/>
      <c r="H58" s="134"/>
      <c r="I58" s="181"/>
      <c r="J58" s="181"/>
      <c r="K58" s="134"/>
      <c r="L58" s="134"/>
      <c r="M58" s="136"/>
      <c r="N58" s="134"/>
      <c r="O58" s="134"/>
      <c r="P58" s="181"/>
    </row>
    <row r="59" spans="1:16" ht="45">
      <c r="A59" s="229">
        <f t="shared" si="0"/>
        <v>43</v>
      </c>
      <c r="B59" s="183" t="s">
        <v>559</v>
      </c>
      <c r="C59" s="184" t="s">
        <v>456</v>
      </c>
      <c r="D59" s="228">
        <v>49</v>
      </c>
      <c r="E59" s="185">
        <v>1</v>
      </c>
      <c r="F59" s="152">
        <v>4.3</v>
      </c>
      <c r="G59" s="152">
        <v>3.8</v>
      </c>
      <c r="H59" s="134">
        <v>11.9</v>
      </c>
      <c r="I59" s="135">
        <v>1</v>
      </c>
      <c r="J59" s="152">
        <f>+I59+H59+G59</f>
        <v>16.7</v>
      </c>
      <c r="K59" s="134">
        <f>D59*E59</f>
        <v>49</v>
      </c>
      <c r="L59" s="134">
        <f>D59*G59</f>
        <v>186.2</v>
      </c>
      <c r="M59" s="136">
        <f>D59*H59</f>
        <v>583.1</v>
      </c>
      <c r="N59" s="134">
        <f>D59*I59</f>
        <v>49</v>
      </c>
      <c r="O59" s="134">
        <f>L59+M59+N59</f>
        <v>818.3</v>
      </c>
      <c r="P59" s="134">
        <v>39.68</v>
      </c>
    </row>
    <row r="60" spans="1:16" ht="15">
      <c r="A60" s="229">
        <f t="shared" si="0"/>
        <v>44</v>
      </c>
      <c r="B60" s="179" t="s">
        <v>387</v>
      </c>
      <c r="C60" s="184" t="s">
        <v>456</v>
      </c>
      <c r="D60" s="182">
        <v>48</v>
      </c>
      <c r="E60" s="185">
        <v>2.5</v>
      </c>
      <c r="F60" s="152">
        <v>4.3</v>
      </c>
      <c r="G60" s="152">
        <v>8</v>
      </c>
      <c r="H60" s="134">
        <v>8.2</v>
      </c>
      <c r="I60" s="135">
        <v>0.8</v>
      </c>
      <c r="J60" s="152">
        <f>+I60+H60+G60</f>
        <v>17</v>
      </c>
      <c r="K60" s="134">
        <f>D60*E60</f>
        <v>120</v>
      </c>
      <c r="L60" s="134">
        <f>D60*G60</f>
        <v>384</v>
      </c>
      <c r="M60" s="136">
        <f>D60*H60</f>
        <v>393.59999999999997</v>
      </c>
      <c r="N60" s="134">
        <f>D60*I60</f>
        <v>38.400000000000006</v>
      </c>
      <c r="O60" s="134">
        <f>L60+M60+N60</f>
        <v>815.9999999999999</v>
      </c>
      <c r="P60" s="134">
        <v>16.68</v>
      </c>
    </row>
    <row r="61" spans="1:16" ht="15.75" thickBot="1">
      <c r="A61" s="229">
        <f t="shared" si="0"/>
        <v>45</v>
      </c>
      <c r="B61" s="186" t="s">
        <v>388</v>
      </c>
      <c r="C61" s="187" t="s">
        <v>138</v>
      </c>
      <c r="D61" s="188">
        <v>1</v>
      </c>
      <c r="E61" s="189"/>
      <c r="F61" s="190"/>
      <c r="G61" s="190"/>
      <c r="H61" s="191">
        <v>26.91</v>
      </c>
      <c r="I61" s="190">
        <v>2.8</v>
      </c>
      <c r="J61" s="190">
        <f>SUM(G61:I61)</f>
        <v>29.71</v>
      </c>
      <c r="K61" s="191">
        <f>D61*E61</f>
        <v>0</v>
      </c>
      <c r="L61" s="191">
        <f>D61*G61</f>
        <v>0</v>
      </c>
      <c r="M61" s="192">
        <f>D61*H61</f>
        <v>26.91</v>
      </c>
      <c r="N61" s="191">
        <f>D61*I61</f>
        <v>2.8</v>
      </c>
      <c r="O61" s="191">
        <f>L61+M61+N61</f>
        <v>29.71</v>
      </c>
      <c r="P61" s="190">
        <v>77</v>
      </c>
    </row>
    <row r="62" spans="1:17" ht="15" hidden="1">
      <c r="A62" s="229">
        <f t="shared" si="0"/>
        <v>46</v>
      </c>
      <c r="B62" s="133"/>
      <c r="C62" s="133"/>
      <c r="D62" s="194"/>
      <c r="E62" s="195"/>
      <c r="F62" s="196"/>
      <c r="G62" s="196"/>
      <c r="H62" s="196"/>
      <c r="I62" s="196"/>
      <c r="J62" s="196"/>
      <c r="K62" s="197">
        <f>SUM(K18:K61)</f>
        <v>1067.9046511627907</v>
      </c>
      <c r="L62" s="197">
        <f>SUM(L18:L61)</f>
        <v>3359.94</v>
      </c>
      <c r="M62" s="197">
        <f>SUM(M18:M61)</f>
        <v>8241.101</v>
      </c>
      <c r="N62" s="197">
        <f>SUM(N18:N61)</f>
        <v>689.58</v>
      </c>
      <c r="O62" s="198">
        <f>SUM(O18:O61)</f>
        <v>12290.621000000001</v>
      </c>
      <c r="P62" s="196"/>
      <c r="Q62" s="149">
        <v>12729.93</v>
      </c>
    </row>
    <row r="63" spans="1:17" ht="15.75" hidden="1" thickBot="1">
      <c r="A63" s="229">
        <f t="shared" si="0"/>
        <v>47</v>
      </c>
      <c r="B63" s="199"/>
      <c r="C63" s="199"/>
      <c r="D63" s="200"/>
      <c r="E63" s="201"/>
      <c r="F63" s="202"/>
      <c r="G63" s="202"/>
      <c r="H63" s="202"/>
      <c r="I63" s="202"/>
      <c r="J63" s="202"/>
      <c r="K63" s="203"/>
      <c r="L63" s="203"/>
      <c r="M63" s="203">
        <f>M62*0.02</f>
        <v>164.82202</v>
      </c>
      <c r="N63" s="203"/>
      <c r="O63" s="203">
        <f>M63</f>
        <v>164.82202</v>
      </c>
      <c r="P63" s="202"/>
      <c r="Q63" s="149">
        <v>12729.93</v>
      </c>
    </row>
    <row r="64" spans="1:17" ht="15" hidden="1">
      <c r="A64" s="229">
        <f t="shared" si="0"/>
        <v>48</v>
      </c>
      <c r="B64" s="199"/>
      <c r="C64" s="199"/>
      <c r="D64" s="200"/>
      <c r="E64" s="204"/>
      <c r="F64" s="205"/>
      <c r="G64" s="205"/>
      <c r="H64" s="205"/>
      <c r="I64" s="205"/>
      <c r="J64" s="205"/>
      <c r="K64" s="206"/>
      <c r="L64" s="206">
        <f>L62+L63</f>
        <v>3359.94</v>
      </c>
      <c r="M64" s="206">
        <f>M62+M63</f>
        <v>8405.92302</v>
      </c>
      <c r="N64" s="206">
        <f>N62+N63</f>
        <v>689.58</v>
      </c>
      <c r="O64" s="206">
        <f>O62+O63</f>
        <v>12455.44302</v>
      </c>
      <c r="P64" s="205"/>
      <c r="Q64" s="149">
        <v>12729.93</v>
      </c>
    </row>
    <row r="65" spans="1:17" ht="15" hidden="1">
      <c r="A65" s="229">
        <f t="shared" si="0"/>
        <v>49</v>
      </c>
      <c r="B65" s="199"/>
      <c r="C65" s="199"/>
      <c r="D65" s="200"/>
      <c r="E65" s="207"/>
      <c r="F65" s="208"/>
      <c r="G65" s="208"/>
      <c r="H65" s="208"/>
      <c r="I65" s="208"/>
      <c r="J65" s="208"/>
      <c r="K65" s="209"/>
      <c r="L65" s="209">
        <f>L64*0.05</f>
        <v>167.997</v>
      </c>
      <c r="M65" s="209">
        <f>M64*0.05</f>
        <v>420.296151</v>
      </c>
      <c r="N65" s="209">
        <f>N64*0.05</f>
        <v>34.479000000000006</v>
      </c>
      <c r="O65" s="209" t="e">
        <f>ROUND(O64*#REF!,2)</f>
        <v>#REF!</v>
      </c>
      <c r="P65" s="208"/>
      <c r="Q65" s="149">
        <v>12729.93</v>
      </c>
    </row>
    <row r="66" spans="1:17" ht="15" hidden="1">
      <c r="A66" s="229">
        <f t="shared" si="0"/>
        <v>50</v>
      </c>
      <c r="B66" s="199"/>
      <c r="C66" s="199"/>
      <c r="D66" s="200"/>
      <c r="E66" s="207"/>
      <c r="F66" s="208"/>
      <c r="G66" s="208"/>
      <c r="H66" s="208"/>
      <c r="I66" s="208"/>
      <c r="J66" s="208"/>
      <c r="K66" s="209"/>
      <c r="L66" s="209">
        <f>ROUND(L64*0.015,2)</f>
        <v>50.4</v>
      </c>
      <c r="M66" s="209">
        <f>ROUND(M64*0.015,2)</f>
        <v>126.09</v>
      </c>
      <c r="N66" s="209">
        <f>ROUND(N64*0.015,2)</f>
        <v>10.34</v>
      </c>
      <c r="O66" s="209" t="e">
        <f>ROUND(O64*#REF!,2)</f>
        <v>#REF!</v>
      </c>
      <c r="P66" s="208"/>
      <c r="Q66" s="149">
        <v>12729.93</v>
      </c>
    </row>
    <row r="67" spans="1:17" ht="15.75" hidden="1" thickBot="1">
      <c r="A67" s="229">
        <f t="shared" si="0"/>
        <v>51</v>
      </c>
      <c r="B67" s="199"/>
      <c r="C67" s="199"/>
      <c r="D67" s="200"/>
      <c r="E67" s="210"/>
      <c r="F67" s="211"/>
      <c r="G67" s="211"/>
      <c r="H67" s="211"/>
      <c r="I67" s="211"/>
      <c r="J67" s="211"/>
      <c r="K67" s="212"/>
      <c r="L67" s="212">
        <f>ROUND(L64*0.2409,2)</f>
        <v>809.41</v>
      </c>
      <c r="M67" s="212"/>
      <c r="N67" s="212"/>
      <c r="O67" s="212">
        <f>L67</f>
        <v>809.41</v>
      </c>
      <c r="P67" s="211"/>
      <c r="Q67" s="149">
        <v>12729.93</v>
      </c>
    </row>
    <row r="68" spans="1:17" ht="15" hidden="1">
      <c r="A68" s="229">
        <f t="shared" si="0"/>
        <v>52</v>
      </c>
      <c r="B68" s="199"/>
      <c r="C68" s="199"/>
      <c r="D68" s="200"/>
      <c r="E68" s="213"/>
      <c r="F68" s="214"/>
      <c r="G68" s="214"/>
      <c r="H68" s="214"/>
      <c r="I68" s="214"/>
      <c r="J68" s="214"/>
      <c r="K68" s="215"/>
      <c r="L68" s="215">
        <f>L64+L65+L66+L67</f>
        <v>4387.747</v>
      </c>
      <c r="M68" s="215">
        <f>M64+M65+M66+M67</f>
        <v>8952.309171</v>
      </c>
      <c r="N68" s="215">
        <f>N64+N65+N66+N67</f>
        <v>734.3990000000001</v>
      </c>
      <c r="O68" s="215" t="e">
        <f>O64+O65+O66+O67</f>
        <v>#REF!</v>
      </c>
      <c r="P68" s="214"/>
      <c r="Q68" s="149">
        <v>12729.93</v>
      </c>
    </row>
    <row r="69" spans="1:17" ht="15" customHeight="1" hidden="1">
      <c r="A69" s="229">
        <f t="shared" si="0"/>
        <v>53</v>
      </c>
      <c r="B69" s="193"/>
      <c r="C69" s="193"/>
      <c r="D69" s="193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9">
        <v>12729.93</v>
      </c>
    </row>
    <row r="70" spans="1:19" ht="15" customHeight="1">
      <c r="A70" s="193"/>
      <c r="B70" s="216" t="s">
        <v>348</v>
      </c>
      <c r="C70" s="133"/>
      <c r="D70" s="133"/>
      <c r="E70" s="217"/>
      <c r="F70" s="217"/>
      <c r="G70" s="217"/>
      <c r="H70" s="217"/>
      <c r="I70" s="217"/>
      <c r="J70" s="217"/>
      <c r="K70" s="217">
        <f>SUM(K16:K61)</f>
        <v>1067.9046511627907</v>
      </c>
      <c r="L70" s="217">
        <f>SUM(L16:L61)</f>
        <v>3359.94</v>
      </c>
      <c r="M70" s="217">
        <f>SUM(M16:M61)</f>
        <v>8241.101</v>
      </c>
      <c r="N70" s="217">
        <f>SUM(N16:N61)</f>
        <v>689.58</v>
      </c>
      <c r="O70" s="217">
        <f>SUM(O16:O61)</f>
        <v>12290.621000000001</v>
      </c>
      <c r="P70" s="146"/>
      <c r="Q70" s="149">
        <f>10990.08+818.3+482.24</f>
        <v>12290.619999999999</v>
      </c>
      <c r="S70" s="149">
        <v>12460.03</v>
      </c>
    </row>
    <row r="71" spans="1:16" ht="30.75" customHeight="1" thickBot="1">
      <c r="A71" s="193"/>
      <c r="B71" s="212" t="s">
        <v>349</v>
      </c>
      <c r="C71" s="218"/>
      <c r="D71" s="218"/>
      <c r="E71" s="219"/>
      <c r="F71" s="219"/>
      <c r="G71" s="219"/>
      <c r="H71" s="219"/>
      <c r="I71" s="219"/>
      <c r="J71" s="219"/>
      <c r="K71" s="219"/>
      <c r="L71" s="219"/>
      <c r="M71" s="219">
        <f>M70*0.02</f>
        <v>164.82202</v>
      </c>
      <c r="N71" s="219"/>
      <c r="O71" s="219">
        <f>M71</f>
        <v>164.82202</v>
      </c>
      <c r="P71" s="146"/>
    </row>
    <row r="72" spans="1:16" ht="15" customHeight="1">
      <c r="A72" s="193"/>
      <c r="B72" s="215" t="s">
        <v>350</v>
      </c>
      <c r="C72" s="220"/>
      <c r="D72" s="220"/>
      <c r="E72" s="221"/>
      <c r="F72" s="221"/>
      <c r="G72" s="221"/>
      <c r="H72" s="221"/>
      <c r="I72" s="221"/>
      <c r="J72" s="221"/>
      <c r="K72" s="221">
        <f>K70+K71</f>
        <v>1067.9046511627907</v>
      </c>
      <c r="L72" s="221">
        <f>L70+L71</f>
        <v>3359.94</v>
      </c>
      <c r="M72" s="221">
        <f>M70+M71</f>
        <v>8405.92302</v>
      </c>
      <c r="N72" s="221">
        <f>N70+N71</f>
        <v>689.58</v>
      </c>
      <c r="O72" s="221">
        <f>O70+O71</f>
        <v>12455.44302</v>
      </c>
      <c r="P72" s="146"/>
    </row>
    <row r="73" spans="1:16" ht="15" customHeight="1">
      <c r="A73" s="193"/>
      <c r="B73" s="222" t="s">
        <v>351</v>
      </c>
      <c r="C73" s="223">
        <v>0.02</v>
      </c>
      <c r="D73" s="133"/>
      <c r="E73" s="217"/>
      <c r="F73" s="217"/>
      <c r="G73" s="217"/>
      <c r="H73" s="217"/>
      <c r="I73" s="217"/>
      <c r="J73" s="217"/>
      <c r="K73" s="217"/>
      <c r="L73" s="217">
        <f>L72*0.02</f>
        <v>67.1988</v>
      </c>
      <c r="M73" s="217">
        <f>M72*0.02</f>
        <v>168.1184604</v>
      </c>
      <c r="N73" s="217">
        <f>N72*0.02</f>
        <v>13.7916</v>
      </c>
      <c r="O73" s="217">
        <f>O72*0.02</f>
        <v>249.10886040000003</v>
      </c>
      <c r="P73" s="146"/>
    </row>
    <row r="74" spans="1:16" ht="15" customHeight="1">
      <c r="A74" s="193"/>
      <c r="B74" s="224" t="s">
        <v>352</v>
      </c>
      <c r="C74" s="223">
        <v>0.007</v>
      </c>
      <c r="D74" s="133"/>
      <c r="E74" s="217"/>
      <c r="F74" s="217"/>
      <c r="G74" s="217"/>
      <c r="H74" s="217"/>
      <c r="I74" s="217"/>
      <c r="J74" s="217"/>
      <c r="K74" s="217"/>
      <c r="L74" s="217">
        <f>L72*0.007</f>
        <v>23.51958</v>
      </c>
      <c r="M74" s="217">
        <f>M72*0.007</f>
        <v>58.84146114</v>
      </c>
      <c r="N74" s="217">
        <f>N72*0.007</f>
        <v>4.82706</v>
      </c>
      <c r="O74" s="217">
        <f>O72*0.007</f>
        <v>87.18810114</v>
      </c>
      <c r="P74" s="146"/>
    </row>
    <row r="75" spans="1:16" ht="15" customHeight="1" thickBot="1">
      <c r="A75" s="193"/>
      <c r="B75" s="225" t="s">
        <v>353</v>
      </c>
      <c r="C75" s="226">
        <v>0.2409</v>
      </c>
      <c r="D75" s="218"/>
      <c r="E75" s="219"/>
      <c r="F75" s="219"/>
      <c r="G75" s="219"/>
      <c r="H75" s="219"/>
      <c r="I75" s="219"/>
      <c r="J75" s="219"/>
      <c r="K75" s="219"/>
      <c r="L75" s="219">
        <f>L72*0.2409</f>
        <v>809.409546</v>
      </c>
      <c r="M75" s="219"/>
      <c r="N75" s="219"/>
      <c r="O75" s="219">
        <f>L75</f>
        <v>809.409546</v>
      </c>
      <c r="P75" s="146"/>
    </row>
    <row r="76" spans="1:19" ht="15" customHeight="1">
      <c r="A76" s="193"/>
      <c r="B76" s="220" t="s">
        <v>348</v>
      </c>
      <c r="C76" s="220"/>
      <c r="D76" s="220"/>
      <c r="E76" s="221"/>
      <c r="F76" s="221"/>
      <c r="G76" s="221"/>
      <c r="H76" s="221"/>
      <c r="I76" s="221"/>
      <c r="J76" s="221"/>
      <c r="K76" s="221">
        <f>K72+K73+K74+K75</f>
        <v>1067.9046511627907</v>
      </c>
      <c r="L76" s="221">
        <f>L72+L73+L74+L75</f>
        <v>4260.067926000001</v>
      </c>
      <c r="M76" s="221">
        <f>M72+M73+M74+M75</f>
        <v>8632.88294154</v>
      </c>
      <c r="N76" s="221">
        <f>N72+N73+N74+N75</f>
        <v>708.19866</v>
      </c>
      <c r="O76" s="221">
        <f>O72+O73+O74+O75</f>
        <v>13601.149527540001</v>
      </c>
      <c r="P76" s="146"/>
      <c r="Q76" s="149">
        <v>14236.92</v>
      </c>
      <c r="S76" s="149">
        <f>O76-Q76</f>
        <v>-635.7704724599989</v>
      </c>
    </row>
    <row r="77" spans="1:16" ht="15" customHeight="1">
      <c r="A77" s="193"/>
      <c r="B77" s="193"/>
      <c r="C77" s="193"/>
      <c r="D77" s="193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</row>
    <row r="78" spans="1:4" ht="14.25" customHeight="1">
      <c r="A78" s="138"/>
      <c r="B78" s="138"/>
      <c r="C78" s="138"/>
      <c r="D78" s="138"/>
    </row>
    <row r="79" spans="1:4" ht="15">
      <c r="A79" s="138"/>
      <c r="B79" s="138"/>
      <c r="C79" s="138"/>
      <c r="D79" s="138"/>
    </row>
    <row r="80" spans="1:4" ht="13.5" customHeight="1">
      <c r="A80" s="227"/>
      <c r="B80" s="227"/>
      <c r="C80" s="227"/>
      <c r="D80" s="227"/>
    </row>
    <row r="81" spans="1:4" ht="15">
      <c r="A81" s="193"/>
      <c r="B81" s="193"/>
      <c r="C81" s="193"/>
      <c r="D81" s="193"/>
    </row>
    <row r="82" spans="1:4" ht="15">
      <c r="A82" s="193"/>
      <c r="B82" s="193"/>
      <c r="C82" s="193"/>
      <c r="D82" s="193"/>
    </row>
    <row r="83" spans="1:4" ht="15">
      <c r="A83" s="193"/>
      <c r="B83" s="193"/>
      <c r="C83" s="193"/>
      <c r="D83" s="193"/>
    </row>
    <row r="84" spans="1:4" ht="15">
      <c r="A84" s="193"/>
      <c r="B84" s="193"/>
      <c r="C84" s="193"/>
      <c r="D84" s="193"/>
    </row>
    <row r="85" spans="1:4" ht="15">
      <c r="A85" s="193"/>
      <c r="B85" s="193"/>
      <c r="C85" s="193"/>
      <c r="D85" s="193"/>
    </row>
    <row r="86" spans="1:4" ht="15">
      <c r="A86" s="193"/>
      <c r="B86" s="193"/>
      <c r="C86" s="193"/>
      <c r="D86" s="193"/>
    </row>
    <row r="87" spans="1:4" ht="15">
      <c r="A87" s="193"/>
      <c r="B87" s="193"/>
      <c r="C87" s="193"/>
      <c r="D87" s="193"/>
    </row>
    <row r="88" spans="1:4" ht="15">
      <c r="A88" s="193"/>
      <c r="B88" s="193"/>
      <c r="C88" s="193"/>
      <c r="D88" s="193"/>
    </row>
    <row r="89" spans="1:4" ht="15">
      <c r="A89" s="193"/>
      <c r="B89" s="193"/>
      <c r="C89" s="193"/>
      <c r="D89" s="193"/>
    </row>
    <row r="90" spans="1:4" ht="15">
      <c r="A90" s="193"/>
      <c r="B90" s="193"/>
      <c r="C90" s="193"/>
      <c r="D90" s="193"/>
    </row>
    <row r="91" spans="1:4" ht="15">
      <c r="A91" s="193"/>
      <c r="B91" s="193"/>
      <c r="C91" s="193"/>
      <c r="D91" s="193"/>
    </row>
    <row r="92" spans="1:4" ht="15">
      <c r="A92" s="193"/>
      <c r="B92" s="193"/>
      <c r="C92" s="193"/>
      <c r="D92" s="193"/>
    </row>
    <row r="93" spans="1:4" ht="15">
      <c r="A93" s="193"/>
      <c r="B93" s="193"/>
      <c r="C93" s="193"/>
      <c r="D93" s="193"/>
    </row>
    <row r="94" spans="1:4" ht="15">
      <c r="A94" s="193"/>
      <c r="B94" s="193"/>
      <c r="C94" s="193"/>
      <c r="D94" s="193"/>
    </row>
    <row r="95" spans="1:4" ht="15">
      <c r="A95" s="193"/>
      <c r="B95" s="193"/>
      <c r="C95" s="193"/>
      <c r="D95" s="193"/>
    </row>
    <row r="96" spans="1:4" ht="15">
      <c r="A96" s="193"/>
      <c r="B96" s="193"/>
      <c r="C96" s="193"/>
      <c r="D96" s="193"/>
    </row>
    <row r="97" spans="1:4" ht="15">
      <c r="A97" s="193"/>
      <c r="B97" s="193"/>
      <c r="C97" s="193"/>
      <c r="D97" s="193"/>
    </row>
    <row r="98" spans="1:4" ht="15">
      <c r="A98" s="193"/>
      <c r="B98" s="193"/>
      <c r="C98" s="193"/>
      <c r="D98" s="193"/>
    </row>
    <row r="99" spans="1:4" ht="15">
      <c r="A99" s="193"/>
      <c r="B99" s="193"/>
      <c r="C99" s="193"/>
      <c r="D99" s="193"/>
    </row>
    <row r="100" spans="1:4" ht="15">
      <c r="A100" s="193"/>
      <c r="B100" s="193"/>
      <c r="C100" s="193"/>
      <c r="D100" s="193"/>
    </row>
    <row r="101" spans="1:4" ht="15">
      <c r="A101" s="193"/>
      <c r="B101" s="193"/>
      <c r="C101" s="193"/>
      <c r="D101" s="193"/>
    </row>
  </sheetData>
  <sheetProtection/>
  <mergeCells count="24">
    <mergeCell ref="P13:P14"/>
    <mergeCell ref="C12:C14"/>
    <mergeCell ref="D12:D14"/>
    <mergeCell ref="E12:J12"/>
    <mergeCell ref="J13:J14"/>
    <mergeCell ref="F13:F14"/>
    <mergeCell ref="A3:O3"/>
    <mergeCell ref="A4:O4"/>
    <mergeCell ref="L13:L14"/>
    <mergeCell ref="I13:I14"/>
    <mergeCell ref="E13:E14"/>
    <mergeCell ref="A12:A14"/>
    <mergeCell ref="B12:B14"/>
    <mergeCell ref="O13:O14"/>
    <mergeCell ref="K13:K14"/>
    <mergeCell ref="N13:N14"/>
    <mergeCell ref="A5:O5"/>
    <mergeCell ref="A8:I8"/>
    <mergeCell ref="L9:M9"/>
    <mergeCell ref="A10:I10"/>
    <mergeCell ref="G13:G14"/>
    <mergeCell ref="H13:H14"/>
    <mergeCell ref="K12:O12"/>
    <mergeCell ref="M13:M14"/>
  </mergeCells>
  <conditionalFormatting sqref="B25:C26">
    <cfRule type="expression" priority="1" dxfId="0" stopIfTrue="1">
      <formula>#REF!=""</formula>
    </cfRule>
  </conditionalFormatting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J118"/>
  <sheetViews>
    <sheetView zoomScale="115" zoomScaleNormal="115" zoomScalePageLayoutView="0" workbookViewId="0" topLeftCell="A1">
      <pane xSplit="2" ySplit="11" topLeftCell="E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D13" sqref="CD13"/>
    </sheetView>
  </sheetViews>
  <sheetFormatPr defaultColWidth="1.875" defaultRowHeight="12.75"/>
  <cols>
    <col min="1" max="1" width="4.625" style="8" customWidth="1"/>
    <col min="2" max="2" width="31.625" style="8" customWidth="1"/>
    <col min="3" max="3" width="6.625" style="8" hidden="1" customWidth="1"/>
    <col min="4" max="4" width="5.875" style="8" hidden="1" customWidth="1"/>
    <col min="5" max="88" width="1.625" style="8" customWidth="1"/>
    <col min="89" max="16384" width="1.875" style="8" customWidth="1"/>
  </cols>
  <sheetData>
    <row r="1" s="7" customFormat="1" ht="12.75"/>
    <row r="2" s="7" customFormat="1" ht="12.75"/>
    <row r="3" spans="1:4" ht="16.5" customHeight="1">
      <c r="A3" s="765"/>
      <c r="B3" s="765"/>
      <c r="C3" s="765"/>
      <c r="D3" s="765"/>
    </row>
    <row r="4" spans="1:15" ht="16.5" customHeight="1">
      <c r="A4" s="83"/>
      <c r="B4" s="766" t="s">
        <v>392</v>
      </c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</row>
    <row r="5" spans="1:4" ht="16.5" customHeight="1">
      <c r="A5" s="83"/>
      <c r="B5" s="83"/>
      <c r="C5" s="83"/>
      <c r="D5" s="83"/>
    </row>
    <row r="6" spans="1:67" ht="16.5" customHeight="1">
      <c r="A6" s="765" t="s">
        <v>505</v>
      </c>
      <c r="B6" s="765"/>
      <c r="C6" s="765"/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  <c r="S6" s="765"/>
      <c r="T6" s="765"/>
      <c r="U6" s="765"/>
      <c r="V6" s="765"/>
      <c r="W6" s="765"/>
      <c r="X6" s="765"/>
      <c r="Y6" s="765"/>
      <c r="Z6" s="765"/>
      <c r="AA6" s="765"/>
      <c r="AB6" s="765"/>
      <c r="AC6" s="765"/>
      <c r="AD6" s="765"/>
      <c r="AE6" s="765"/>
      <c r="AF6" s="765"/>
      <c r="AG6" s="765"/>
      <c r="AH6" s="765"/>
      <c r="AI6" s="765"/>
      <c r="AJ6" s="765"/>
      <c r="AK6" s="765"/>
      <c r="AL6" s="765"/>
      <c r="AM6" s="765"/>
      <c r="AN6" s="765"/>
      <c r="AO6" s="765"/>
      <c r="AP6" s="765"/>
      <c r="AQ6" s="765"/>
      <c r="AR6" s="765"/>
      <c r="AS6" s="765"/>
      <c r="AT6" s="765"/>
      <c r="AU6" s="765"/>
      <c r="AV6" s="765"/>
      <c r="AW6" s="765"/>
      <c r="AX6" s="765"/>
      <c r="AY6" s="765"/>
      <c r="AZ6" s="765"/>
      <c r="BA6" s="765"/>
      <c r="BB6" s="765"/>
      <c r="BC6" s="765"/>
      <c r="BD6" s="765"/>
      <c r="BE6" s="765"/>
      <c r="BF6" s="765"/>
      <c r="BG6" s="765"/>
      <c r="BH6" s="765"/>
      <c r="BI6" s="765"/>
      <c r="BJ6" s="765"/>
      <c r="BK6" s="765"/>
      <c r="BL6" s="765"/>
      <c r="BM6" s="765"/>
      <c r="BN6" s="765"/>
      <c r="BO6" s="765"/>
    </row>
    <row r="7" spans="1:88" ht="16.5" customHeight="1" thickBot="1">
      <c r="A7" s="96"/>
      <c r="B7" s="96"/>
      <c r="C7" s="96"/>
      <c r="D7" s="96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</row>
    <row r="8" spans="1:88" ht="16.5" customHeight="1" thickBot="1">
      <c r="A8" s="96"/>
      <c r="B8" s="96"/>
      <c r="C8" s="96"/>
      <c r="D8" s="96"/>
      <c r="E8" s="763" t="s">
        <v>503</v>
      </c>
      <c r="F8" s="763"/>
      <c r="G8" s="763"/>
      <c r="H8" s="763"/>
      <c r="I8" s="763"/>
      <c r="J8" s="763"/>
      <c r="K8" s="763"/>
      <c r="L8" s="763"/>
      <c r="M8" s="763"/>
      <c r="N8" s="763"/>
      <c r="O8" s="763"/>
      <c r="P8" s="763"/>
      <c r="Q8" s="763"/>
      <c r="R8" s="763"/>
      <c r="S8" s="763"/>
      <c r="T8" s="763"/>
      <c r="U8" s="763"/>
      <c r="V8" s="763"/>
      <c r="W8" s="763"/>
      <c r="X8" s="763"/>
      <c r="Y8" s="763"/>
      <c r="Z8" s="763"/>
      <c r="AA8" s="763"/>
      <c r="AB8" s="763"/>
      <c r="AC8" s="763"/>
      <c r="AD8" s="763"/>
      <c r="AE8" s="763"/>
      <c r="AF8" s="763"/>
      <c r="AG8" s="763"/>
      <c r="AH8" s="763"/>
      <c r="AI8" s="763"/>
      <c r="AJ8" s="763"/>
      <c r="AK8" s="763"/>
      <c r="AL8" s="763" t="s">
        <v>504</v>
      </c>
      <c r="AM8" s="763"/>
      <c r="AN8" s="763"/>
      <c r="AO8" s="763"/>
      <c r="AP8" s="763"/>
      <c r="AQ8" s="763"/>
      <c r="AR8" s="763"/>
      <c r="AS8" s="763"/>
      <c r="AT8" s="763"/>
      <c r="AU8" s="763"/>
      <c r="AV8" s="763"/>
      <c r="AW8" s="763"/>
      <c r="AX8" s="763"/>
      <c r="AY8" s="763"/>
      <c r="AZ8" s="763"/>
      <c r="BA8" s="763"/>
      <c r="BB8" s="763"/>
      <c r="BC8" s="763"/>
      <c r="BD8" s="763"/>
      <c r="BE8" s="763"/>
      <c r="BF8" s="763"/>
      <c r="BG8" s="763"/>
      <c r="BH8" s="763"/>
      <c r="BI8" s="763"/>
      <c r="BJ8" s="763"/>
      <c r="BK8" s="763"/>
      <c r="BL8" s="763"/>
      <c r="BM8" s="763"/>
      <c r="BN8" s="763"/>
      <c r="BO8" s="764"/>
      <c r="BP8" s="762" t="s">
        <v>550</v>
      </c>
      <c r="BQ8" s="763"/>
      <c r="BR8" s="763"/>
      <c r="BS8" s="763"/>
      <c r="BT8" s="763"/>
      <c r="BU8" s="763"/>
      <c r="BV8" s="763"/>
      <c r="BW8" s="763"/>
      <c r="BX8" s="763"/>
      <c r="BY8" s="763"/>
      <c r="BZ8" s="763"/>
      <c r="CA8" s="763"/>
      <c r="CB8" s="763"/>
      <c r="CC8" s="763"/>
      <c r="CD8" s="763"/>
      <c r="CE8" s="763"/>
      <c r="CF8" s="763"/>
      <c r="CG8" s="763"/>
      <c r="CH8" s="763"/>
      <c r="CI8" s="763"/>
      <c r="CJ8" s="764"/>
    </row>
    <row r="9" spans="1:88" ht="16.5" customHeight="1">
      <c r="A9" s="753" t="s">
        <v>491</v>
      </c>
      <c r="B9" s="753" t="s">
        <v>490</v>
      </c>
      <c r="C9" s="756" t="s">
        <v>492</v>
      </c>
      <c r="D9" s="759" t="s">
        <v>333</v>
      </c>
      <c r="E9" s="751" t="s">
        <v>494</v>
      </c>
      <c r="F9" s="751"/>
      <c r="G9" s="751"/>
      <c r="H9" s="751"/>
      <c r="I9" s="751"/>
      <c r="J9" s="751"/>
      <c r="K9" s="751"/>
      <c r="L9" s="751" t="s">
        <v>495</v>
      </c>
      <c r="M9" s="751"/>
      <c r="N9" s="751"/>
      <c r="O9" s="751"/>
      <c r="P9" s="751"/>
      <c r="Q9" s="751"/>
      <c r="R9" s="751"/>
      <c r="S9" s="751" t="s">
        <v>496</v>
      </c>
      <c r="T9" s="751"/>
      <c r="U9" s="751"/>
      <c r="V9" s="751"/>
      <c r="W9" s="751"/>
      <c r="X9" s="751"/>
      <c r="Y9" s="751"/>
      <c r="Z9" s="751" t="s">
        <v>497</v>
      </c>
      <c r="AA9" s="751"/>
      <c r="AB9" s="751"/>
      <c r="AC9" s="751"/>
      <c r="AD9" s="751"/>
      <c r="AE9" s="751"/>
      <c r="AF9" s="751"/>
      <c r="AG9" s="751" t="s">
        <v>498</v>
      </c>
      <c r="AH9" s="751"/>
      <c r="AI9" s="751"/>
      <c r="AJ9" s="751"/>
      <c r="AK9" s="751"/>
      <c r="AL9" s="751"/>
      <c r="AM9" s="751"/>
      <c r="AN9" s="751" t="s">
        <v>499</v>
      </c>
      <c r="AO9" s="751"/>
      <c r="AP9" s="751"/>
      <c r="AQ9" s="751"/>
      <c r="AR9" s="751"/>
      <c r="AS9" s="751"/>
      <c r="AT9" s="751"/>
      <c r="AU9" s="751" t="s">
        <v>500</v>
      </c>
      <c r="AV9" s="751"/>
      <c r="AW9" s="751"/>
      <c r="AX9" s="751"/>
      <c r="AY9" s="751"/>
      <c r="AZ9" s="751"/>
      <c r="BA9" s="751"/>
      <c r="BB9" s="751" t="s">
        <v>501</v>
      </c>
      <c r="BC9" s="751"/>
      <c r="BD9" s="751"/>
      <c r="BE9" s="751"/>
      <c r="BF9" s="751"/>
      <c r="BG9" s="751"/>
      <c r="BH9" s="751"/>
      <c r="BI9" s="751" t="s">
        <v>502</v>
      </c>
      <c r="BJ9" s="751"/>
      <c r="BK9" s="751"/>
      <c r="BL9" s="751"/>
      <c r="BM9" s="751"/>
      <c r="BN9" s="751"/>
      <c r="BO9" s="751"/>
      <c r="BP9" s="751" t="s">
        <v>547</v>
      </c>
      <c r="BQ9" s="751"/>
      <c r="BR9" s="751"/>
      <c r="BS9" s="751"/>
      <c r="BT9" s="751"/>
      <c r="BU9" s="751"/>
      <c r="BV9" s="751"/>
      <c r="BW9" s="751" t="s">
        <v>548</v>
      </c>
      <c r="BX9" s="751"/>
      <c r="BY9" s="751"/>
      <c r="BZ9" s="751"/>
      <c r="CA9" s="751"/>
      <c r="CB9" s="751"/>
      <c r="CC9" s="751"/>
      <c r="CD9" s="751" t="s">
        <v>549</v>
      </c>
      <c r="CE9" s="751"/>
      <c r="CF9" s="751"/>
      <c r="CG9" s="751"/>
      <c r="CH9" s="751"/>
      <c r="CI9" s="751"/>
      <c r="CJ9" s="751"/>
    </row>
    <row r="10" spans="1:88" ht="16.5" customHeight="1">
      <c r="A10" s="754"/>
      <c r="B10" s="754"/>
      <c r="C10" s="757"/>
      <c r="D10" s="760"/>
      <c r="E10" s="752" t="s">
        <v>493</v>
      </c>
      <c r="F10" s="752"/>
      <c r="G10" s="752"/>
      <c r="H10" s="752"/>
      <c r="I10" s="752"/>
      <c r="J10" s="752"/>
      <c r="K10" s="752"/>
      <c r="L10" s="752" t="s">
        <v>493</v>
      </c>
      <c r="M10" s="752"/>
      <c r="N10" s="752"/>
      <c r="O10" s="752"/>
      <c r="P10" s="752"/>
      <c r="Q10" s="752"/>
      <c r="R10" s="752"/>
      <c r="S10" s="752" t="s">
        <v>493</v>
      </c>
      <c r="T10" s="752"/>
      <c r="U10" s="752"/>
      <c r="V10" s="752"/>
      <c r="W10" s="752"/>
      <c r="X10" s="752"/>
      <c r="Y10" s="752"/>
      <c r="Z10" s="752" t="s">
        <v>493</v>
      </c>
      <c r="AA10" s="752"/>
      <c r="AB10" s="752"/>
      <c r="AC10" s="752"/>
      <c r="AD10" s="752"/>
      <c r="AE10" s="752"/>
      <c r="AF10" s="752"/>
      <c r="AG10" s="752" t="s">
        <v>493</v>
      </c>
      <c r="AH10" s="752"/>
      <c r="AI10" s="752"/>
      <c r="AJ10" s="752"/>
      <c r="AK10" s="752"/>
      <c r="AL10" s="752"/>
      <c r="AM10" s="752"/>
      <c r="AN10" s="752" t="s">
        <v>493</v>
      </c>
      <c r="AO10" s="752"/>
      <c r="AP10" s="752"/>
      <c r="AQ10" s="752"/>
      <c r="AR10" s="752"/>
      <c r="AS10" s="752"/>
      <c r="AT10" s="752"/>
      <c r="AU10" s="752" t="s">
        <v>493</v>
      </c>
      <c r="AV10" s="752"/>
      <c r="AW10" s="752"/>
      <c r="AX10" s="752"/>
      <c r="AY10" s="752"/>
      <c r="AZ10" s="752"/>
      <c r="BA10" s="752"/>
      <c r="BB10" s="752" t="s">
        <v>493</v>
      </c>
      <c r="BC10" s="752"/>
      <c r="BD10" s="752"/>
      <c r="BE10" s="752"/>
      <c r="BF10" s="752"/>
      <c r="BG10" s="752"/>
      <c r="BH10" s="752"/>
      <c r="BI10" s="752" t="s">
        <v>493</v>
      </c>
      <c r="BJ10" s="752"/>
      <c r="BK10" s="752"/>
      <c r="BL10" s="752"/>
      <c r="BM10" s="752"/>
      <c r="BN10" s="752"/>
      <c r="BO10" s="752"/>
      <c r="BP10" s="752" t="s">
        <v>493</v>
      </c>
      <c r="BQ10" s="752"/>
      <c r="BR10" s="752"/>
      <c r="BS10" s="752"/>
      <c r="BT10" s="752"/>
      <c r="BU10" s="752"/>
      <c r="BV10" s="752"/>
      <c r="BW10" s="752" t="s">
        <v>493</v>
      </c>
      <c r="BX10" s="752"/>
      <c r="BY10" s="752"/>
      <c r="BZ10" s="752"/>
      <c r="CA10" s="752"/>
      <c r="CB10" s="752"/>
      <c r="CC10" s="752"/>
      <c r="CD10" s="752" t="s">
        <v>493</v>
      </c>
      <c r="CE10" s="752"/>
      <c r="CF10" s="752"/>
      <c r="CG10" s="752"/>
      <c r="CH10" s="752"/>
      <c r="CI10" s="752"/>
      <c r="CJ10" s="752"/>
    </row>
    <row r="11" spans="1:88" ht="31.5" customHeight="1" thickBot="1">
      <c r="A11" s="755"/>
      <c r="B11" s="755"/>
      <c r="C11" s="758"/>
      <c r="D11" s="761"/>
      <c r="E11" s="97"/>
      <c r="F11" s="97"/>
      <c r="G11" s="97">
        <f>F11+1</f>
        <v>1</v>
      </c>
      <c r="H11" s="97">
        <f aca="true" t="shared" si="0" ref="H11:BO11">G11+1</f>
        <v>2</v>
      </c>
      <c r="I11" s="97">
        <f t="shared" si="0"/>
        <v>3</v>
      </c>
      <c r="J11" s="97">
        <f t="shared" si="0"/>
        <v>4</v>
      </c>
      <c r="K11" s="97">
        <f t="shared" si="0"/>
        <v>5</v>
      </c>
      <c r="L11" s="97">
        <f t="shared" si="0"/>
        <v>6</v>
      </c>
      <c r="M11" s="97">
        <f t="shared" si="0"/>
        <v>7</v>
      </c>
      <c r="N11" s="97">
        <f t="shared" si="0"/>
        <v>8</v>
      </c>
      <c r="O11" s="97">
        <f t="shared" si="0"/>
        <v>9</v>
      </c>
      <c r="P11" s="97">
        <f t="shared" si="0"/>
        <v>10</v>
      </c>
      <c r="Q11" s="97">
        <f t="shared" si="0"/>
        <v>11</v>
      </c>
      <c r="R11" s="97">
        <f t="shared" si="0"/>
        <v>12</v>
      </c>
      <c r="S11" s="97">
        <f t="shared" si="0"/>
        <v>13</v>
      </c>
      <c r="T11" s="97">
        <f t="shared" si="0"/>
        <v>14</v>
      </c>
      <c r="U11" s="97">
        <f t="shared" si="0"/>
        <v>15</v>
      </c>
      <c r="V11" s="97">
        <f t="shared" si="0"/>
        <v>16</v>
      </c>
      <c r="W11" s="97">
        <f t="shared" si="0"/>
        <v>17</v>
      </c>
      <c r="X11" s="97">
        <f t="shared" si="0"/>
        <v>18</v>
      </c>
      <c r="Y11" s="97">
        <f t="shared" si="0"/>
        <v>19</v>
      </c>
      <c r="Z11" s="97">
        <f t="shared" si="0"/>
        <v>20</v>
      </c>
      <c r="AA11" s="97">
        <f t="shared" si="0"/>
        <v>21</v>
      </c>
      <c r="AB11" s="97">
        <f t="shared" si="0"/>
        <v>22</v>
      </c>
      <c r="AC11" s="97">
        <f t="shared" si="0"/>
        <v>23</v>
      </c>
      <c r="AD11" s="97">
        <f t="shared" si="0"/>
        <v>24</v>
      </c>
      <c r="AE11" s="97">
        <f t="shared" si="0"/>
        <v>25</v>
      </c>
      <c r="AF11" s="97">
        <f t="shared" si="0"/>
        <v>26</v>
      </c>
      <c r="AG11" s="97">
        <f t="shared" si="0"/>
        <v>27</v>
      </c>
      <c r="AH11" s="97">
        <f t="shared" si="0"/>
        <v>28</v>
      </c>
      <c r="AI11" s="97">
        <f t="shared" si="0"/>
        <v>29</v>
      </c>
      <c r="AJ11" s="97">
        <f t="shared" si="0"/>
        <v>30</v>
      </c>
      <c r="AK11" s="97">
        <f t="shared" si="0"/>
        <v>31</v>
      </c>
      <c r="AL11" s="97">
        <v>1</v>
      </c>
      <c r="AM11" s="97">
        <f t="shared" si="0"/>
        <v>2</v>
      </c>
      <c r="AN11" s="97">
        <f t="shared" si="0"/>
        <v>3</v>
      </c>
      <c r="AO11" s="97">
        <f t="shared" si="0"/>
        <v>4</v>
      </c>
      <c r="AP11" s="97">
        <f t="shared" si="0"/>
        <v>5</v>
      </c>
      <c r="AQ11" s="97">
        <f t="shared" si="0"/>
        <v>6</v>
      </c>
      <c r="AR11" s="97">
        <f t="shared" si="0"/>
        <v>7</v>
      </c>
      <c r="AS11" s="97">
        <f t="shared" si="0"/>
        <v>8</v>
      </c>
      <c r="AT11" s="97">
        <f t="shared" si="0"/>
        <v>9</v>
      </c>
      <c r="AU11" s="97">
        <f t="shared" si="0"/>
        <v>10</v>
      </c>
      <c r="AV11" s="97">
        <f t="shared" si="0"/>
        <v>11</v>
      </c>
      <c r="AW11" s="97">
        <f t="shared" si="0"/>
        <v>12</v>
      </c>
      <c r="AX11" s="97">
        <f t="shared" si="0"/>
        <v>13</v>
      </c>
      <c r="AY11" s="97">
        <f t="shared" si="0"/>
        <v>14</v>
      </c>
      <c r="AZ11" s="97">
        <f t="shared" si="0"/>
        <v>15</v>
      </c>
      <c r="BA11" s="97">
        <f t="shared" si="0"/>
        <v>16</v>
      </c>
      <c r="BB11" s="97">
        <f t="shared" si="0"/>
        <v>17</v>
      </c>
      <c r="BC11" s="97">
        <f t="shared" si="0"/>
        <v>18</v>
      </c>
      <c r="BD11" s="97">
        <f t="shared" si="0"/>
        <v>19</v>
      </c>
      <c r="BE11" s="97">
        <f t="shared" si="0"/>
        <v>20</v>
      </c>
      <c r="BF11" s="97">
        <f t="shared" si="0"/>
        <v>21</v>
      </c>
      <c r="BG11" s="97">
        <f t="shared" si="0"/>
        <v>22</v>
      </c>
      <c r="BH11" s="97">
        <f t="shared" si="0"/>
        <v>23</v>
      </c>
      <c r="BI11" s="97">
        <f t="shared" si="0"/>
        <v>24</v>
      </c>
      <c r="BJ11" s="97">
        <f t="shared" si="0"/>
        <v>25</v>
      </c>
      <c r="BK11" s="97">
        <f t="shared" si="0"/>
        <v>26</v>
      </c>
      <c r="BL11" s="97">
        <f t="shared" si="0"/>
        <v>27</v>
      </c>
      <c r="BM11" s="97">
        <f t="shared" si="0"/>
        <v>28</v>
      </c>
      <c r="BN11" s="97">
        <f t="shared" si="0"/>
        <v>29</v>
      </c>
      <c r="BO11" s="97">
        <f t="shared" si="0"/>
        <v>30</v>
      </c>
      <c r="BP11" s="97">
        <v>1</v>
      </c>
      <c r="BQ11" s="97">
        <v>2</v>
      </c>
      <c r="BR11" s="97">
        <v>3</v>
      </c>
      <c r="BS11" s="97">
        <f aca="true" t="shared" si="1" ref="BS11:CJ11">BR11+1</f>
        <v>4</v>
      </c>
      <c r="BT11" s="97">
        <f t="shared" si="1"/>
        <v>5</v>
      </c>
      <c r="BU11" s="97">
        <f t="shared" si="1"/>
        <v>6</v>
      </c>
      <c r="BV11" s="97">
        <f t="shared" si="1"/>
        <v>7</v>
      </c>
      <c r="BW11" s="97">
        <f t="shared" si="1"/>
        <v>8</v>
      </c>
      <c r="BX11" s="97">
        <f t="shared" si="1"/>
        <v>9</v>
      </c>
      <c r="BY11" s="97">
        <f t="shared" si="1"/>
        <v>10</v>
      </c>
      <c r="BZ11" s="97">
        <f t="shared" si="1"/>
        <v>11</v>
      </c>
      <c r="CA11" s="97">
        <f t="shared" si="1"/>
        <v>12</v>
      </c>
      <c r="CB11" s="97">
        <f t="shared" si="1"/>
        <v>13</v>
      </c>
      <c r="CC11" s="97">
        <f t="shared" si="1"/>
        <v>14</v>
      </c>
      <c r="CD11" s="97">
        <f t="shared" si="1"/>
        <v>15</v>
      </c>
      <c r="CE11" s="97">
        <f t="shared" si="1"/>
        <v>16</v>
      </c>
      <c r="CF11" s="97">
        <f t="shared" si="1"/>
        <v>17</v>
      </c>
      <c r="CG11" s="97">
        <f t="shared" si="1"/>
        <v>18</v>
      </c>
      <c r="CH11" s="97">
        <f t="shared" si="1"/>
        <v>19</v>
      </c>
      <c r="CI11" s="256">
        <f t="shared" si="1"/>
        <v>20</v>
      </c>
      <c r="CJ11" s="256">
        <f t="shared" si="1"/>
        <v>21</v>
      </c>
    </row>
    <row r="12" spans="1:88" ht="16.5" customHeight="1">
      <c r="A12" s="93"/>
      <c r="B12" s="93"/>
      <c r="C12" s="94"/>
      <c r="D12" s="95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256"/>
      <c r="CJ12" s="256"/>
    </row>
    <row r="13" spans="1:88" ht="15" customHeight="1">
      <c r="A13" s="99">
        <f>A12+1</f>
        <v>1</v>
      </c>
      <c r="B13" s="100" t="s">
        <v>91</v>
      </c>
      <c r="C13" s="44"/>
      <c r="D13" s="92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256"/>
      <c r="CJ13" s="256"/>
    </row>
    <row r="14" spans="1:88" ht="27.75" customHeight="1">
      <c r="A14" s="4" t="s">
        <v>9</v>
      </c>
      <c r="B14" s="19" t="s">
        <v>306</v>
      </c>
      <c r="C14" s="4" t="s">
        <v>4</v>
      </c>
      <c r="D14" s="31"/>
      <c r="E14" s="30"/>
      <c r="F14" s="30"/>
      <c r="G14" s="30"/>
      <c r="H14" s="72"/>
      <c r="I14" s="72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256"/>
      <c r="CJ14" s="256"/>
    </row>
    <row r="15" spans="1:88" ht="15" customHeight="1">
      <c r="A15" s="4" t="s">
        <v>14</v>
      </c>
      <c r="B15" s="19" t="s">
        <v>308</v>
      </c>
      <c r="C15" s="4" t="s">
        <v>4</v>
      </c>
      <c r="D15" s="3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256"/>
      <c r="CJ15" s="256"/>
    </row>
    <row r="16" spans="1:88" ht="15" customHeight="1">
      <c r="A16" s="1" t="s">
        <v>44</v>
      </c>
      <c r="B16" s="33" t="s">
        <v>137</v>
      </c>
      <c r="C16" s="34" t="s">
        <v>138</v>
      </c>
      <c r="D16" s="31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97"/>
      <c r="CA16" s="97"/>
      <c r="CB16" s="97"/>
      <c r="CC16" s="97"/>
      <c r="CD16" s="97"/>
      <c r="CE16" s="97"/>
      <c r="CF16" s="97"/>
      <c r="CG16" s="97"/>
      <c r="CH16" s="97"/>
      <c r="CI16" s="256"/>
      <c r="CJ16" s="256"/>
    </row>
    <row r="17" spans="1:88" ht="15" customHeight="1">
      <c r="A17" s="35" t="s">
        <v>46</v>
      </c>
      <c r="B17" s="38" t="s">
        <v>510</v>
      </c>
      <c r="C17" s="16" t="s">
        <v>39</v>
      </c>
      <c r="D17" s="15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256"/>
      <c r="CJ17" s="256"/>
    </row>
    <row r="18" spans="1:88" ht="15" customHeight="1">
      <c r="A18" s="4" t="s">
        <v>54</v>
      </c>
      <c r="B18" s="36" t="s">
        <v>22</v>
      </c>
      <c r="C18" s="4" t="s">
        <v>4</v>
      </c>
      <c r="D18" s="53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30"/>
      <c r="BO18" s="30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256"/>
      <c r="CJ18" s="256"/>
    </row>
    <row r="19" spans="1:88" ht="18" customHeight="1">
      <c r="A19" s="4" t="s">
        <v>55</v>
      </c>
      <c r="B19" s="32" t="s">
        <v>26</v>
      </c>
      <c r="C19" s="16" t="s">
        <v>4</v>
      </c>
      <c r="D19" s="7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30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256"/>
      <c r="CJ19" s="256"/>
    </row>
    <row r="20" spans="1:88" ht="27" customHeight="1">
      <c r="A20" s="66" t="s">
        <v>479</v>
      </c>
      <c r="B20" s="36" t="s">
        <v>27</v>
      </c>
      <c r="C20" s="4" t="s">
        <v>3</v>
      </c>
      <c r="D20" s="53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97"/>
      <c r="BQ20" s="239"/>
      <c r="BR20" s="239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256"/>
      <c r="CJ20" s="256"/>
    </row>
    <row r="21" spans="1:88" ht="13.5" customHeight="1">
      <c r="A21" s="4" t="s">
        <v>57</v>
      </c>
      <c r="B21" s="19" t="s">
        <v>29</v>
      </c>
      <c r="C21" s="4" t="s">
        <v>3</v>
      </c>
      <c r="D21" s="53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30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256"/>
      <c r="CJ21" s="256"/>
    </row>
    <row r="22" spans="1:88" ht="15" customHeight="1">
      <c r="A22" s="16" t="s">
        <v>58</v>
      </c>
      <c r="B22" s="21" t="s">
        <v>143</v>
      </c>
      <c r="C22" s="16" t="s">
        <v>3</v>
      </c>
      <c r="D22" s="77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30"/>
      <c r="BL22" s="30"/>
      <c r="BM22" s="30"/>
      <c r="BN22" s="30"/>
      <c r="BO22" s="30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256"/>
      <c r="CJ22" s="256"/>
    </row>
    <row r="23" spans="1:88" ht="27.75" customHeight="1">
      <c r="A23" s="4" t="s">
        <v>111</v>
      </c>
      <c r="B23" s="36" t="s">
        <v>193</v>
      </c>
      <c r="C23" s="4" t="s">
        <v>3</v>
      </c>
      <c r="D23" s="53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256"/>
      <c r="CJ23" s="256"/>
    </row>
    <row r="24" spans="1:88" ht="30" customHeight="1">
      <c r="A24" s="1" t="s">
        <v>113</v>
      </c>
      <c r="B24" s="32" t="s">
        <v>194</v>
      </c>
      <c r="C24" s="16" t="s">
        <v>4</v>
      </c>
      <c r="D24" s="15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241"/>
      <c r="AX24" s="241"/>
      <c r="AY24" s="241"/>
      <c r="AZ24" s="241"/>
      <c r="BA24" s="241"/>
      <c r="BB24" s="241"/>
      <c r="BC24" s="241"/>
      <c r="BD24" s="241"/>
      <c r="BE24" s="241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256"/>
      <c r="CJ24" s="256"/>
    </row>
    <row r="25" spans="1:88" ht="19.5" customHeight="1">
      <c r="A25" s="4" t="s">
        <v>147</v>
      </c>
      <c r="B25" s="36" t="s">
        <v>199</v>
      </c>
      <c r="C25" s="4" t="s">
        <v>6</v>
      </c>
      <c r="D25" s="31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242"/>
      <c r="AX25" s="242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256"/>
      <c r="CJ25" s="256"/>
    </row>
    <row r="26" spans="1:88" ht="15" customHeight="1">
      <c r="A26" s="1" t="s">
        <v>148</v>
      </c>
      <c r="B26" s="36" t="s">
        <v>200</v>
      </c>
      <c r="C26" s="4" t="s">
        <v>4</v>
      </c>
      <c r="D26" s="3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243"/>
      <c r="BK26" s="243"/>
      <c r="BL26" s="243"/>
      <c r="BM26" s="243"/>
      <c r="BN26" s="30"/>
      <c r="BO26" s="30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256"/>
      <c r="CJ26" s="256"/>
    </row>
    <row r="27" spans="1:88" ht="15" customHeight="1">
      <c r="A27" s="4" t="s">
        <v>149</v>
      </c>
      <c r="B27" s="36" t="s">
        <v>202</v>
      </c>
      <c r="C27" s="4" t="s">
        <v>4</v>
      </c>
      <c r="D27" s="31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243"/>
      <c r="BK27" s="243"/>
      <c r="BL27" s="243"/>
      <c r="BM27" s="243"/>
      <c r="BN27" s="30"/>
      <c r="BO27" s="30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256"/>
      <c r="CJ27" s="256"/>
    </row>
    <row r="28" spans="1:88" ht="33.75" customHeight="1">
      <c r="A28" s="4" t="s">
        <v>206</v>
      </c>
      <c r="B28" s="32" t="s">
        <v>204</v>
      </c>
      <c r="C28" s="16" t="s">
        <v>4</v>
      </c>
      <c r="D28" s="15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244"/>
      <c r="BC28" s="244"/>
      <c r="BD28" s="244"/>
      <c r="BE28" s="244"/>
      <c r="BF28" s="244"/>
      <c r="BG28" s="30"/>
      <c r="BH28" s="30"/>
      <c r="BI28" s="30"/>
      <c r="BJ28" s="30"/>
      <c r="BK28" s="30"/>
      <c r="BL28" s="30"/>
      <c r="BM28" s="30"/>
      <c r="BN28" s="30"/>
      <c r="BO28" s="30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256"/>
      <c r="CJ28" s="256"/>
    </row>
    <row r="29" spans="1:88" ht="14.25" customHeight="1">
      <c r="A29" s="4"/>
      <c r="B29" s="32" t="s">
        <v>506</v>
      </c>
      <c r="C29" s="16" t="s">
        <v>4</v>
      </c>
      <c r="D29" s="15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244"/>
      <c r="BC29" s="244"/>
      <c r="BD29" s="244"/>
      <c r="BE29" s="244"/>
      <c r="BF29" s="244"/>
      <c r="BG29" s="30"/>
      <c r="BH29" s="30"/>
      <c r="BI29" s="30"/>
      <c r="BJ29" s="30"/>
      <c r="BK29" s="30"/>
      <c r="BL29" s="30"/>
      <c r="BM29" s="30"/>
      <c r="BN29" s="30"/>
      <c r="BO29" s="30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256"/>
      <c r="CJ29" s="256"/>
    </row>
    <row r="30" spans="1:88" ht="15" customHeight="1">
      <c r="A30" s="4" t="s">
        <v>208</v>
      </c>
      <c r="B30" s="32" t="s">
        <v>205</v>
      </c>
      <c r="C30" s="16" t="s">
        <v>4</v>
      </c>
      <c r="D30" s="15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244"/>
      <c r="BC30" s="244"/>
      <c r="BD30" s="244"/>
      <c r="BE30" s="244"/>
      <c r="BF30" s="244"/>
      <c r="BG30" s="30"/>
      <c r="BH30" s="30"/>
      <c r="BI30" s="30"/>
      <c r="BJ30" s="30"/>
      <c r="BK30" s="30"/>
      <c r="BL30" s="30"/>
      <c r="BM30" s="30"/>
      <c r="BN30" s="30"/>
      <c r="BO30" s="30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256"/>
      <c r="CJ30" s="256"/>
    </row>
    <row r="31" spans="1:88" ht="15" customHeight="1">
      <c r="A31" s="4"/>
      <c r="B31" s="32" t="s">
        <v>577</v>
      </c>
      <c r="C31" s="16"/>
      <c r="D31" s="15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237"/>
      <c r="BK31" s="237"/>
      <c r="BL31" s="237"/>
      <c r="BM31" s="237"/>
      <c r="BN31" s="30"/>
      <c r="BO31" s="30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256"/>
      <c r="CJ31" s="256"/>
    </row>
    <row r="32" spans="1:88" ht="24.75" customHeight="1">
      <c r="A32" s="4" t="s">
        <v>212</v>
      </c>
      <c r="B32" s="32" t="s">
        <v>207</v>
      </c>
      <c r="C32" s="1" t="s">
        <v>4</v>
      </c>
      <c r="D32" s="2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237"/>
      <c r="BK32" s="237"/>
      <c r="BL32" s="237"/>
      <c r="BM32" s="237"/>
      <c r="BN32" s="30"/>
      <c r="BO32" s="30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256"/>
      <c r="CJ32" s="256"/>
    </row>
    <row r="33" spans="1:88" ht="15" customHeight="1">
      <c r="A33" s="4" t="s">
        <v>480</v>
      </c>
      <c r="B33" s="19" t="s">
        <v>209</v>
      </c>
      <c r="C33" s="4" t="s">
        <v>3</v>
      </c>
      <c r="D33" s="31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256"/>
      <c r="CJ33" s="256"/>
    </row>
    <row r="34" spans="1:88" ht="27.75" customHeight="1">
      <c r="A34" s="4" t="s">
        <v>215</v>
      </c>
      <c r="B34" s="21" t="s">
        <v>213</v>
      </c>
      <c r="C34" s="1" t="s">
        <v>4</v>
      </c>
      <c r="D34" s="2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256"/>
      <c r="CJ34" s="256"/>
    </row>
    <row r="35" spans="1:88" ht="17.25" customHeight="1">
      <c r="A35" s="45" t="s">
        <v>93</v>
      </c>
      <c r="B35" s="48" t="s">
        <v>508</v>
      </c>
      <c r="C35" s="46" t="s">
        <v>4</v>
      </c>
      <c r="D35" s="17"/>
      <c r="E35" s="30"/>
      <c r="F35" s="30"/>
      <c r="G35" s="30"/>
      <c r="H35" s="245"/>
      <c r="I35" s="245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256"/>
      <c r="CJ35" s="256"/>
    </row>
    <row r="36" spans="1:88" ht="15" customHeight="1">
      <c r="A36" s="75" t="s">
        <v>481</v>
      </c>
      <c r="B36" s="19" t="s">
        <v>507</v>
      </c>
      <c r="C36" s="4" t="s">
        <v>4</v>
      </c>
      <c r="D36" s="31"/>
      <c r="E36" s="30"/>
      <c r="F36" s="30"/>
      <c r="G36" s="30"/>
      <c r="H36" s="30"/>
      <c r="I36" s="30"/>
      <c r="J36" s="22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97"/>
      <c r="BQ36" s="97"/>
      <c r="BR36" s="97"/>
      <c r="BS36" s="97"/>
      <c r="BT36" s="97"/>
      <c r="BU36" s="97"/>
      <c r="BV36" s="97"/>
      <c r="BW36" s="246"/>
      <c r="BX36" s="246"/>
      <c r="BY36" s="246"/>
      <c r="BZ36" s="246"/>
      <c r="CA36" s="97"/>
      <c r="CB36" s="97"/>
      <c r="CC36" s="97"/>
      <c r="CD36" s="97"/>
      <c r="CE36" s="97"/>
      <c r="CF36" s="97"/>
      <c r="CG36" s="97"/>
      <c r="CH36" s="97"/>
      <c r="CI36" s="256"/>
      <c r="CJ36" s="256"/>
    </row>
    <row r="37" spans="1:88" ht="15" customHeight="1">
      <c r="A37" s="75"/>
      <c r="B37" s="19" t="s">
        <v>295</v>
      </c>
      <c r="C37" s="4" t="s">
        <v>4</v>
      </c>
      <c r="D37" s="31"/>
      <c r="E37" s="30"/>
      <c r="F37" s="30"/>
      <c r="G37" s="30"/>
      <c r="H37" s="30"/>
      <c r="I37" s="30"/>
      <c r="J37" s="22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97"/>
      <c r="BQ37" s="97"/>
      <c r="BR37" s="97"/>
      <c r="BS37" s="97"/>
      <c r="BT37" s="97"/>
      <c r="BU37" s="97"/>
      <c r="BV37" s="97"/>
      <c r="BW37" s="246"/>
      <c r="BX37" s="246"/>
      <c r="BY37" s="246"/>
      <c r="BZ37" s="246"/>
      <c r="CA37" s="97"/>
      <c r="CB37" s="97"/>
      <c r="CC37" s="97"/>
      <c r="CD37" s="97"/>
      <c r="CE37" s="97"/>
      <c r="CF37" s="97"/>
      <c r="CG37" s="97"/>
      <c r="CH37" s="97"/>
      <c r="CI37" s="256"/>
      <c r="CJ37" s="256"/>
    </row>
    <row r="38" spans="1:88" ht="15" customHeight="1">
      <c r="A38" s="73" t="s">
        <v>482</v>
      </c>
      <c r="B38" s="21" t="s">
        <v>217</v>
      </c>
      <c r="C38" s="16" t="s">
        <v>4</v>
      </c>
      <c r="D38" s="15"/>
      <c r="E38" s="30"/>
      <c r="F38" s="30"/>
      <c r="G38" s="30"/>
      <c r="H38" s="30"/>
      <c r="I38" s="30"/>
      <c r="J38" s="22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46"/>
      <c r="BQ38" s="246"/>
      <c r="BR38" s="246"/>
      <c r="BS38" s="246"/>
      <c r="BT38" s="246"/>
      <c r="BU38" s="246"/>
      <c r="BV38" s="246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256"/>
      <c r="CJ38" s="256"/>
    </row>
    <row r="39" spans="1:88" ht="15" customHeight="1">
      <c r="A39" s="76"/>
      <c r="B39" s="20" t="s">
        <v>416</v>
      </c>
      <c r="C39" s="37" t="s">
        <v>4</v>
      </c>
      <c r="D39" s="37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256"/>
      <c r="CJ39" s="256"/>
    </row>
    <row r="40" spans="1:88" ht="15" customHeight="1">
      <c r="A40" s="68"/>
      <c r="B40" s="36" t="s">
        <v>254</v>
      </c>
      <c r="C40" s="4" t="s">
        <v>138</v>
      </c>
      <c r="D40" s="2"/>
      <c r="E40" s="22"/>
      <c r="F40" s="22"/>
      <c r="G40" s="22"/>
      <c r="H40" s="22"/>
      <c r="I40" s="22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256"/>
      <c r="CJ40" s="256"/>
    </row>
    <row r="41" spans="1:88" ht="15" customHeight="1">
      <c r="A41" s="68"/>
      <c r="B41" s="38" t="s">
        <v>509</v>
      </c>
      <c r="C41" s="1" t="s">
        <v>4</v>
      </c>
      <c r="D41" s="2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256"/>
      <c r="CJ41" s="256"/>
    </row>
    <row r="42" spans="1:88" ht="27.75" customHeight="1">
      <c r="A42" s="67"/>
      <c r="B42" s="32" t="s">
        <v>74</v>
      </c>
      <c r="C42" s="16" t="s">
        <v>4</v>
      </c>
      <c r="D42" s="15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256"/>
      <c r="CJ42" s="256"/>
    </row>
    <row r="43" spans="1:88" ht="15" customHeight="1">
      <c r="A43" s="67"/>
      <c r="B43" s="38" t="s">
        <v>270</v>
      </c>
      <c r="C43" s="15" t="s">
        <v>4</v>
      </c>
      <c r="D43" s="15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256"/>
      <c r="CJ43" s="256"/>
    </row>
    <row r="44" spans="1:88" ht="26.25" customHeight="1">
      <c r="A44" s="68"/>
      <c r="B44" s="32" t="s">
        <v>106</v>
      </c>
      <c r="C44" s="5" t="s">
        <v>8</v>
      </c>
      <c r="D44" s="6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256"/>
      <c r="CJ44" s="256"/>
    </row>
    <row r="45" spans="1:88" ht="15" customHeight="1">
      <c r="A45" s="67"/>
      <c r="B45" s="32" t="s">
        <v>273</v>
      </c>
      <c r="C45" s="16" t="s">
        <v>8</v>
      </c>
      <c r="D45" s="15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256"/>
      <c r="CJ45" s="256"/>
    </row>
    <row r="46" spans="1:88" ht="27.75" customHeight="1">
      <c r="A46" s="67"/>
      <c r="B46" s="32" t="s">
        <v>80</v>
      </c>
      <c r="C46" s="15" t="s">
        <v>4</v>
      </c>
      <c r="D46" s="15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256"/>
      <c r="CJ46" s="256"/>
    </row>
    <row r="47" spans="1:88" ht="14.25" customHeight="1">
      <c r="A47" s="74" t="s">
        <v>486</v>
      </c>
      <c r="B47" s="36" t="s">
        <v>275</v>
      </c>
      <c r="C47" s="5" t="s">
        <v>10</v>
      </c>
      <c r="D47" s="6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256"/>
      <c r="CJ47" s="256"/>
    </row>
    <row r="48" spans="1:88" ht="15" customHeight="1">
      <c r="A48" s="74" t="s">
        <v>487</v>
      </c>
      <c r="B48" s="98" t="s">
        <v>278</v>
      </c>
      <c r="C48" s="5" t="s">
        <v>10</v>
      </c>
      <c r="D48" s="6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256"/>
      <c r="CJ48" s="256"/>
    </row>
    <row r="49" spans="1:88" ht="27" customHeight="1">
      <c r="A49" s="74" t="s">
        <v>488</v>
      </c>
      <c r="B49" s="32" t="s">
        <v>280</v>
      </c>
      <c r="C49" s="5" t="s">
        <v>10</v>
      </c>
      <c r="D49" s="6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256"/>
      <c r="CJ49" s="256"/>
    </row>
    <row r="50" spans="1:88" ht="17.25" customHeight="1">
      <c r="A50" s="67"/>
      <c r="B50" s="32" t="s">
        <v>13</v>
      </c>
      <c r="C50" s="15" t="s">
        <v>3</v>
      </c>
      <c r="D50" s="15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256"/>
      <c r="CJ50" s="256"/>
    </row>
    <row r="51" spans="1:88" ht="15" customHeight="1">
      <c r="A51" s="69"/>
      <c r="B51" s="39" t="s">
        <v>89</v>
      </c>
      <c r="C51" s="24"/>
      <c r="D51" s="24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256"/>
      <c r="CJ51" s="256"/>
    </row>
    <row r="52" spans="1:88" ht="44.25" customHeight="1">
      <c r="A52" s="67"/>
      <c r="B52" s="32" t="s">
        <v>282</v>
      </c>
      <c r="C52" s="16" t="s">
        <v>4</v>
      </c>
      <c r="D52" s="7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47"/>
      <c r="BQ52" s="247"/>
      <c r="BR52" s="247"/>
      <c r="BS52" s="24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256"/>
      <c r="CJ52" s="256"/>
    </row>
    <row r="53" spans="1:88" ht="26.25" customHeight="1">
      <c r="A53" s="67"/>
      <c r="B53" s="32" t="s">
        <v>316</v>
      </c>
      <c r="C53" s="16" t="s">
        <v>4</v>
      </c>
      <c r="D53" s="15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248"/>
      <c r="AV53" s="248"/>
      <c r="AW53" s="248"/>
      <c r="AX53" s="248"/>
      <c r="AY53" s="248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256"/>
      <c r="CJ53" s="256"/>
    </row>
    <row r="54" spans="1:88" ht="24.75" customHeight="1">
      <c r="A54" s="68"/>
      <c r="B54" s="32" t="s">
        <v>283</v>
      </c>
      <c r="C54" s="1" t="s">
        <v>4</v>
      </c>
      <c r="D54" s="2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249"/>
      <c r="BC54" s="249"/>
      <c r="BD54" s="249"/>
      <c r="BE54" s="249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256"/>
      <c r="CJ54" s="256"/>
    </row>
    <row r="55" spans="1:88" ht="15" customHeight="1">
      <c r="A55" s="68"/>
      <c r="B55" s="18" t="s">
        <v>284</v>
      </c>
      <c r="C55" s="1" t="s">
        <v>4</v>
      </c>
      <c r="D55" s="2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249"/>
      <c r="BC55" s="249"/>
      <c r="BD55" s="249"/>
      <c r="BE55" s="249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256"/>
      <c r="CJ55" s="256"/>
    </row>
    <row r="56" spans="1:88" ht="27.75" customHeight="1">
      <c r="A56" s="68"/>
      <c r="B56" s="21" t="s">
        <v>134</v>
      </c>
      <c r="C56" s="1" t="s">
        <v>3</v>
      </c>
      <c r="D56" s="2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248"/>
      <c r="AV56" s="248"/>
      <c r="AW56" s="248"/>
      <c r="AX56" s="248"/>
      <c r="AY56" s="248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256"/>
      <c r="CJ56" s="256"/>
    </row>
    <row r="57" spans="1:88" ht="15" customHeight="1">
      <c r="A57" s="68"/>
      <c r="B57" s="36" t="s">
        <v>317</v>
      </c>
      <c r="C57" s="1" t="s">
        <v>4</v>
      </c>
      <c r="D57" s="2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50"/>
      <c r="BQ57" s="250"/>
      <c r="BR57" s="250"/>
      <c r="BS57" s="250"/>
      <c r="BT57" s="250"/>
      <c r="BU57" s="250"/>
      <c r="BV57" s="250"/>
      <c r="BW57" s="250"/>
      <c r="BX57" s="250"/>
      <c r="BY57" s="250"/>
      <c r="BZ57" s="97"/>
      <c r="CA57" s="97"/>
      <c r="CB57" s="97"/>
      <c r="CC57" s="97"/>
      <c r="CD57" s="97"/>
      <c r="CE57" s="97"/>
      <c r="CF57" s="97"/>
      <c r="CG57" s="97"/>
      <c r="CH57" s="97"/>
      <c r="CI57" s="256"/>
      <c r="CJ57" s="256"/>
    </row>
    <row r="58" spans="1:88" ht="27" customHeight="1">
      <c r="A58" s="67"/>
      <c r="B58" s="32" t="s">
        <v>287</v>
      </c>
      <c r="C58" s="16" t="s">
        <v>4</v>
      </c>
      <c r="D58" s="15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51"/>
      <c r="BQ58" s="251"/>
      <c r="BR58" s="251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256"/>
      <c r="CJ58" s="256"/>
    </row>
    <row r="59" spans="1:88" ht="25.5" customHeight="1">
      <c r="A59" s="70"/>
      <c r="B59" s="23" t="s">
        <v>318</v>
      </c>
      <c r="C59" s="49" t="s">
        <v>4</v>
      </c>
      <c r="D59" s="5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97"/>
      <c r="BQ59" s="121"/>
      <c r="BR59" s="121"/>
      <c r="BS59" s="121"/>
      <c r="BT59" s="121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256"/>
      <c r="CJ59" s="256"/>
    </row>
    <row r="60" spans="1:88" ht="16.5" customHeight="1">
      <c r="A60" s="66"/>
      <c r="B60" s="30" t="s">
        <v>135</v>
      </c>
      <c r="C60" s="4" t="s">
        <v>10</v>
      </c>
      <c r="D60" s="31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97"/>
      <c r="BQ60" s="97"/>
      <c r="BR60" s="97"/>
      <c r="BS60" s="97"/>
      <c r="BT60" s="97"/>
      <c r="BU60" s="252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256"/>
      <c r="CJ60" s="256"/>
    </row>
    <row r="61" spans="1:88" ht="15" customHeight="1">
      <c r="A61" s="68"/>
      <c r="B61" s="36" t="s">
        <v>162</v>
      </c>
      <c r="C61" s="1" t="s">
        <v>8</v>
      </c>
      <c r="D61" s="2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97"/>
      <c r="BQ61" s="97"/>
      <c r="BR61" s="97"/>
      <c r="BS61" s="97"/>
      <c r="BT61" s="97"/>
      <c r="BU61" s="252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256"/>
      <c r="CJ61" s="256"/>
    </row>
    <row r="62" spans="1:88" ht="29.25" customHeight="1">
      <c r="A62" s="68"/>
      <c r="B62" s="21" t="s">
        <v>163</v>
      </c>
      <c r="C62" s="1" t="s">
        <v>8</v>
      </c>
      <c r="D62" s="82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97"/>
      <c r="BQ62" s="97"/>
      <c r="BR62" s="97"/>
      <c r="BS62" s="97"/>
      <c r="BT62" s="97"/>
      <c r="BU62" s="252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256"/>
      <c r="CJ62" s="256"/>
    </row>
    <row r="63" spans="1:88" ht="31.5" customHeight="1">
      <c r="A63" s="68"/>
      <c r="B63" s="32" t="s">
        <v>476</v>
      </c>
      <c r="C63" s="1" t="s">
        <v>4</v>
      </c>
      <c r="D63" s="2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253"/>
      <c r="CE63" s="253"/>
      <c r="CF63" s="97"/>
      <c r="CG63" s="97"/>
      <c r="CH63" s="97"/>
      <c r="CI63" s="256"/>
      <c r="CJ63" s="256"/>
    </row>
    <row r="64" spans="1:88" ht="15" customHeight="1">
      <c r="A64" s="85"/>
      <c r="B64" s="86" t="s">
        <v>457</v>
      </c>
      <c r="C64" s="1"/>
      <c r="D64" s="82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256"/>
      <c r="CJ64" s="256"/>
    </row>
    <row r="65" spans="1:88" ht="29.25" customHeight="1">
      <c r="A65" s="85"/>
      <c r="B65" s="87" t="s">
        <v>472</v>
      </c>
      <c r="C65" s="1" t="s">
        <v>4</v>
      </c>
      <c r="D65" s="82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243"/>
      <c r="AX65" s="243"/>
      <c r="AY65" s="243"/>
      <c r="AZ65" s="243"/>
      <c r="BA65" s="243"/>
      <c r="BB65" s="243"/>
      <c r="BC65" s="243"/>
      <c r="BD65" s="243"/>
      <c r="BE65" s="243"/>
      <c r="BF65" s="243"/>
      <c r="BG65" s="243"/>
      <c r="BH65" s="243"/>
      <c r="BI65" s="243"/>
      <c r="BJ65" s="243"/>
      <c r="BK65" s="243"/>
      <c r="BL65" s="243"/>
      <c r="BM65" s="243"/>
      <c r="BN65" s="243"/>
      <c r="BO65" s="243"/>
      <c r="BP65" s="254"/>
      <c r="BQ65" s="254"/>
      <c r="BR65" s="254"/>
      <c r="BS65" s="254"/>
      <c r="BT65" s="254"/>
      <c r="BU65" s="254"/>
      <c r="BV65" s="254"/>
      <c r="BW65" s="254"/>
      <c r="BX65" s="254"/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6"/>
      <c r="CJ65" s="256"/>
    </row>
    <row r="66" spans="1:88" ht="28.5" customHeight="1">
      <c r="A66" s="84"/>
      <c r="B66" s="32" t="s">
        <v>80</v>
      </c>
      <c r="C66" s="15" t="s">
        <v>473</v>
      </c>
      <c r="D66" s="77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243"/>
      <c r="AX66" s="243"/>
      <c r="AY66" s="243"/>
      <c r="AZ66" s="243"/>
      <c r="BA66" s="243"/>
      <c r="BB66" s="243"/>
      <c r="BC66" s="243"/>
      <c r="BD66" s="243"/>
      <c r="BE66" s="243"/>
      <c r="BF66" s="243"/>
      <c r="BG66" s="243"/>
      <c r="BH66" s="243"/>
      <c r="BI66" s="243"/>
      <c r="BJ66" s="243"/>
      <c r="BK66" s="243"/>
      <c r="BL66" s="243"/>
      <c r="BM66" s="243"/>
      <c r="BN66" s="243"/>
      <c r="BO66" s="243"/>
      <c r="BP66" s="254"/>
      <c r="BQ66" s="254"/>
      <c r="BR66" s="254"/>
      <c r="BS66" s="254"/>
      <c r="BT66" s="254"/>
      <c r="BU66" s="254"/>
      <c r="BV66" s="254"/>
      <c r="BW66" s="254"/>
      <c r="BX66" s="254"/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6"/>
      <c r="CJ66" s="256"/>
    </row>
    <row r="67" spans="1:88" ht="15.75" customHeight="1">
      <c r="A67" s="71"/>
      <c r="B67" s="36" t="s">
        <v>467</v>
      </c>
      <c r="C67" s="4" t="s">
        <v>4</v>
      </c>
      <c r="D67" s="53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243"/>
      <c r="AX67" s="243"/>
      <c r="AY67" s="243"/>
      <c r="AZ67" s="243"/>
      <c r="BA67" s="243"/>
      <c r="BB67" s="243"/>
      <c r="BC67" s="243"/>
      <c r="BD67" s="243"/>
      <c r="BE67" s="243"/>
      <c r="BF67" s="243"/>
      <c r="BG67" s="243"/>
      <c r="BH67" s="243"/>
      <c r="BI67" s="243"/>
      <c r="BJ67" s="243"/>
      <c r="BK67" s="243"/>
      <c r="BL67" s="243"/>
      <c r="BM67" s="243"/>
      <c r="BN67" s="243"/>
      <c r="BO67" s="243"/>
      <c r="BP67" s="254"/>
      <c r="BQ67" s="254"/>
      <c r="BR67" s="254"/>
      <c r="BS67" s="254"/>
      <c r="BT67" s="254"/>
      <c r="BU67" s="254"/>
      <c r="BV67" s="254"/>
      <c r="BW67" s="254"/>
      <c r="BX67" s="254"/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6"/>
      <c r="CJ67" s="256"/>
    </row>
    <row r="68" spans="1:88" ht="15.75" customHeight="1">
      <c r="A68" s="71"/>
      <c r="B68" s="36" t="s">
        <v>468</v>
      </c>
      <c r="C68" s="4" t="s">
        <v>4</v>
      </c>
      <c r="D68" s="53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243"/>
      <c r="AX68" s="243"/>
      <c r="AY68" s="243"/>
      <c r="AZ68" s="243"/>
      <c r="BA68" s="243"/>
      <c r="BB68" s="243"/>
      <c r="BC68" s="243"/>
      <c r="BD68" s="243"/>
      <c r="BE68" s="243"/>
      <c r="BF68" s="243"/>
      <c r="BG68" s="243"/>
      <c r="BH68" s="243"/>
      <c r="BI68" s="243"/>
      <c r="BJ68" s="243"/>
      <c r="BK68" s="243"/>
      <c r="BL68" s="243"/>
      <c r="BM68" s="243"/>
      <c r="BN68" s="243"/>
      <c r="BO68" s="243"/>
      <c r="BP68" s="254"/>
      <c r="BQ68" s="254"/>
      <c r="BR68" s="254"/>
      <c r="BS68" s="254"/>
      <c r="BT68" s="254"/>
      <c r="BU68" s="254"/>
      <c r="BV68" s="254"/>
      <c r="BW68" s="254"/>
      <c r="BX68" s="254"/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6"/>
      <c r="CJ68" s="256"/>
    </row>
    <row r="69" spans="1:88" ht="28.5" customHeight="1">
      <c r="A69" s="71"/>
      <c r="B69" s="36" t="s">
        <v>458</v>
      </c>
      <c r="C69" s="4" t="s">
        <v>4</v>
      </c>
      <c r="D69" s="53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243"/>
      <c r="AX69" s="243"/>
      <c r="AY69" s="243"/>
      <c r="AZ69" s="243"/>
      <c r="BA69" s="243"/>
      <c r="BB69" s="243"/>
      <c r="BC69" s="243"/>
      <c r="BD69" s="243"/>
      <c r="BE69" s="243"/>
      <c r="BF69" s="243"/>
      <c r="BG69" s="243"/>
      <c r="BH69" s="243"/>
      <c r="BI69" s="243"/>
      <c r="BJ69" s="243"/>
      <c r="BK69" s="243"/>
      <c r="BL69" s="243"/>
      <c r="BM69" s="243"/>
      <c r="BN69" s="243"/>
      <c r="BO69" s="243"/>
      <c r="BP69" s="254"/>
      <c r="BQ69" s="254"/>
      <c r="BR69" s="254"/>
      <c r="BS69" s="254"/>
      <c r="BT69" s="254"/>
      <c r="BU69" s="254"/>
      <c r="BV69" s="254"/>
      <c r="BW69" s="254"/>
      <c r="BX69" s="254"/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6"/>
      <c r="CJ69" s="256"/>
    </row>
    <row r="70" spans="1:88" ht="15" customHeight="1">
      <c r="A70" s="71"/>
      <c r="B70" s="36" t="s">
        <v>466</v>
      </c>
      <c r="C70" s="4" t="s">
        <v>4</v>
      </c>
      <c r="D70" s="53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243"/>
      <c r="AX70" s="243"/>
      <c r="AY70" s="243"/>
      <c r="AZ70" s="243"/>
      <c r="BA70" s="243"/>
      <c r="BB70" s="243"/>
      <c r="BC70" s="243"/>
      <c r="BD70" s="243"/>
      <c r="BE70" s="243"/>
      <c r="BF70" s="243"/>
      <c r="BG70" s="243"/>
      <c r="BH70" s="243"/>
      <c r="BI70" s="243"/>
      <c r="BJ70" s="243"/>
      <c r="BK70" s="243"/>
      <c r="BL70" s="243"/>
      <c r="BM70" s="243"/>
      <c r="BN70" s="243"/>
      <c r="BO70" s="243"/>
      <c r="BP70" s="254"/>
      <c r="BQ70" s="254"/>
      <c r="BR70" s="254"/>
      <c r="BS70" s="254"/>
      <c r="BT70" s="254"/>
      <c r="BU70" s="254"/>
      <c r="BV70" s="254"/>
      <c r="BW70" s="254"/>
      <c r="BX70" s="254"/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6"/>
      <c r="CJ70" s="256"/>
    </row>
    <row r="71" spans="1:88" ht="16.5" customHeight="1">
      <c r="A71" s="71"/>
      <c r="B71" s="36" t="s">
        <v>469</v>
      </c>
      <c r="C71" s="4" t="s">
        <v>4</v>
      </c>
      <c r="D71" s="53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243"/>
      <c r="BJ71" s="243"/>
      <c r="BK71" s="243"/>
      <c r="BL71" s="243"/>
      <c r="BM71" s="243"/>
      <c r="BN71" s="243"/>
      <c r="BO71" s="243"/>
      <c r="BP71" s="254"/>
      <c r="BQ71" s="254"/>
      <c r="BR71" s="254"/>
      <c r="BS71" s="254"/>
      <c r="BT71" s="254"/>
      <c r="BU71" s="254"/>
      <c r="BV71" s="254"/>
      <c r="BW71" s="254"/>
      <c r="BX71" s="254"/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6"/>
      <c r="CJ71" s="256"/>
    </row>
    <row r="72" spans="1:88" ht="15" customHeight="1">
      <c r="A72" s="88"/>
      <c r="B72" s="89" t="s">
        <v>470</v>
      </c>
      <c r="C72" s="90" t="s">
        <v>4</v>
      </c>
      <c r="D72" s="91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243"/>
      <c r="AX72" s="243"/>
      <c r="AY72" s="243"/>
      <c r="AZ72" s="243"/>
      <c r="BA72" s="243"/>
      <c r="BB72" s="243"/>
      <c r="BC72" s="243"/>
      <c r="BD72" s="243"/>
      <c r="BE72" s="243"/>
      <c r="BF72" s="243"/>
      <c r="BG72" s="243"/>
      <c r="BH72" s="243"/>
      <c r="BI72" s="243"/>
      <c r="BJ72" s="243"/>
      <c r="BK72" s="243"/>
      <c r="BL72" s="243"/>
      <c r="BM72" s="243"/>
      <c r="BN72" s="243"/>
      <c r="BO72" s="243"/>
      <c r="BP72" s="254"/>
      <c r="BQ72" s="254"/>
      <c r="BR72" s="254"/>
      <c r="BS72" s="254"/>
      <c r="BT72" s="254"/>
      <c r="BU72" s="254"/>
      <c r="BV72" s="254"/>
      <c r="BW72" s="254"/>
      <c r="BX72" s="254"/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6"/>
      <c r="CJ72" s="256"/>
    </row>
    <row r="73" spans="1:88" ht="15" customHeight="1">
      <c r="A73" s="88"/>
      <c r="B73" s="89" t="s">
        <v>471</v>
      </c>
      <c r="C73" s="90" t="s">
        <v>3</v>
      </c>
      <c r="D73" s="91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243"/>
      <c r="AX73" s="243"/>
      <c r="AY73" s="243"/>
      <c r="AZ73" s="243"/>
      <c r="BA73" s="243"/>
      <c r="BB73" s="243"/>
      <c r="BC73" s="243"/>
      <c r="BD73" s="243"/>
      <c r="BE73" s="243"/>
      <c r="BF73" s="243"/>
      <c r="BG73" s="243"/>
      <c r="BH73" s="243"/>
      <c r="BI73" s="243"/>
      <c r="BJ73" s="243"/>
      <c r="BK73" s="243"/>
      <c r="BL73" s="243"/>
      <c r="BM73" s="243"/>
      <c r="BN73" s="243"/>
      <c r="BO73" s="243"/>
      <c r="BP73" s="254"/>
      <c r="BQ73" s="254"/>
      <c r="BR73" s="254"/>
      <c r="BS73" s="254"/>
      <c r="BT73" s="254"/>
      <c r="BU73" s="254"/>
      <c r="BV73" s="254"/>
      <c r="BW73" s="254"/>
      <c r="BX73" s="254"/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6"/>
      <c r="CJ73" s="256"/>
    </row>
    <row r="74" spans="1:88" ht="15.75" customHeight="1">
      <c r="A74" s="66"/>
      <c r="B74" s="18" t="s">
        <v>459</v>
      </c>
      <c r="C74" s="4" t="s">
        <v>3</v>
      </c>
      <c r="D74" s="31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243"/>
      <c r="AX74" s="243"/>
      <c r="AY74" s="243"/>
      <c r="AZ74" s="243"/>
      <c r="BA74" s="243"/>
      <c r="BB74" s="243"/>
      <c r="BC74" s="243"/>
      <c r="BD74" s="243"/>
      <c r="BE74" s="243"/>
      <c r="BF74" s="243"/>
      <c r="BG74" s="243"/>
      <c r="BH74" s="243"/>
      <c r="BI74" s="243"/>
      <c r="BJ74" s="243"/>
      <c r="BK74" s="243"/>
      <c r="BL74" s="243"/>
      <c r="BM74" s="243"/>
      <c r="BN74" s="243"/>
      <c r="BO74" s="243"/>
      <c r="BP74" s="254"/>
      <c r="BQ74" s="254"/>
      <c r="BR74" s="254"/>
      <c r="BS74" s="254"/>
      <c r="BT74" s="254"/>
      <c r="BU74" s="254"/>
      <c r="BV74" s="254"/>
      <c r="BW74" s="254"/>
      <c r="BX74" s="254"/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6"/>
      <c r="CJ74" s="256"/>
    </row>
    <row r="75" spans="1:88" ht="15" customHeight="1">
      <c r="A75" s="66"/>
      <c r="B75" s="18" t="s">
        <v>460</v>
      </c>
      <c r="C75" s="4" t="s">
        <v>456</v>
      </c>
      <c r="D75" s="31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243"/>
      <c r="AX75" s="243"/>
      <c r="AY75" s="243"/>
      <c r="AZ75" s="243"/>
      <c r="BA75" s="243"/>
      <c r="BB75" s="243"/>
      <c r="BC75" s="243"/>
      <c r="BD75" s="243"/>
      <c r="BE75" s="243"/>
      <c r="BF75" s="243"/>
      <c r="BG75" s="243"/>
      <c r="BH75" s="243"/>
      <c r="BI75" s="243"/>
      <c r="BJ75" s="243"/>
      <c r="BK75" s="243"/>
      <c r="BL75" s="243"/>
      <c r="BM75" s="243"/>
      <c r="BN75" s="243"/>
      <c r="BO75" s="243"/>
      <c r="BP75" s="254"/>
      <c r="BQ75" s="254"/>
      <c r="BR75" s="254"/>
      <c r="BS75" s="254"/>
      <c r="BT75" s="254"/>
      <c r="BU75" s="254"/>
      <c r="BV75" s="254"/>
      <c r="BW75" s="254"/>
      <c r="BX75" s="254"/>
      <c r="BY75" s="254"/>
      <c r="BZ75" s="254"/>
      <c r="CA75" s="254"/>
      <c r="CB75" s="254"/>
      <c r="CC75" s="254"/>
      <c r="CD75" s="254"/>
      <c r="CE75" s="254"/>
      <c r="CF75" s="254"/>
      <c r="CG75" s="254"/>
      <c r="CH75" s="254"/>
      <c r="CI75" s="256"/>
      <c r="CJ75" s="256"/>
    </row>
    <row r="76" spans="1:88" ht="15" customHeight="1">
      <c r="A76" s="66"/>
      <c r="B76" s="18" t="s">
        <v>474</v>
      </c>
      <c r="C76" s="4" t="s">
        <v>475</v>
      </c>
      <c r="D76" s="31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255"/>
      <c r="CC76" s="97"/>
      <c r="CD76" s="97"/>
      <c r="CE76" s="97"/>
      <c r="CF76" s="97"/>
      <c r="CG76" s="97"/>
      <c r="CH76" s="97"/>
      <c r="CI76" s="256"/>
      <c r="CJ76" s="256"/>
    </row>
    <row r="77" spans="1:88" ht="15" customHeight="1">
      <c r="A77" s="66"/>
      <c r="B77" s="125" t="s">
        <v>137</v>
      </c>
      <c r="C77" s="4"/>
      <c r="D77" s="31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256"/>
      <c r="CJ77" s="256"/>
    </row>
    <row r="78" spans="1:88" ht="27.75" customHeight="1">
      <c r="A78" s="66"/>
      <c r="B78" s="125" t="s">
        <v>551</v>
      </c>
      <c r="C78" s="44"/>
      <c r="D78" s="126"/>
      <c r="E78" s="101"/>
      <c r="F78" s="101"/>
      <c r="G78" s="101"/>
      <c r="H78" s="127"/>
      <c r="I78" s="127"/>
      <c r="J78" s="104"/>
      <c r="K78" s="104"/>
      <c r="L78" s="104"/>
      <c r="M78" s="127"/>
      <c r="N78" s="127"/>
      <c r="O78" s="127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</row>
    <row r="79" spans="1:88" ht="27" customHeight="1">
      <c r="A79" s="124"/>
      <c r="B79" s="125" t="s">
        <v>552</v>
      </c>
      <c r="C79" s="44"/>
      <c r="D79" s="126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28"/>
      <c r="Q79" s="104"/>
      <c r="R79" s="104"/>
      <c r="S79" s="128"/>
      <c r="T79" s="128"/>
      <c r="U79" s="128"/>
      <c r="V79" s="128"/>
      <c r="W79" s="128"/>
      <c r="X79" s="104"/>
      <c r="Y79" s="104"/>
      <c r="Z79" s="128"/>
      <c r="AA79" s="128"/>
      <c r="AB79" s="128"/>
      <c r="AC79" s="128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</row>
    <row r="80" spans="2:88" s="9" customFormat="1" ht="12.75">
      <c r="B80" s="123" t="s">
        <v>546</v>
      </c>
      <c r="C80" s="56"/>
      <c r="D80" s="56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</row>
    <row r="81" spans="2:88" s="9" customFormat="1" ht="12.75" customHeight="1">
      <c r="B81" s="101" t="s">
        <v>513</v>
      </c>
      <c r="C81" s="767" t="s">
        <v>514</v>
      </c>
      <c r="D81" s="101"/>
      <c r="E81" s="102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3"/>
      <c r="AA81" s="103"/>
      <c r="AB81" s="103"/>
      <c r="AC81" s="103"/>
      <c r="AD81" s="103"/>
      <c r="AE81" s="104"/>
      <c r="AF81" s="104"/>
      <c r="AG81" s="103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</row>
    <row r="82" spans="2:88" s="9" customFormat="1" ht="12.75">
      <c r="B82" s="101" t="s">
        <v>515</v>
      </c>
      <c r="C82" s="768"/>
      <c r="D82" s="101"/>
      <c r="E82" s="102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3"/>
      <c r="AA82" s="103"/>
      <c r="AB82" s="103"/>
      <c r="AC82" s="103"/>
      <c r="AD82" s="103"/>
      <c r="AE82" s="104"/>
      <c r="AF82" s="104"/>
      <c r="AG82" s="103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</row>
    <row r="83" spans="2:88" ht="12.75">
      <c r="B83" s="101" t="s">
        <v>516</v>
      </c>
      <c r="C83" s="769"/>
      <c r="D83" s="101"/>
      <c r="E83" s="102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3"/>
      <c r="AA83" s="103"/>
      <c r="AB83" s="103"/>
      <c r="AC83" s="103"/>
      <c r="AD83" s="103"/>
      <c r="AE83" s="104"/>
      <c r="AF83" s="104"/>
      <c r="AG83" s="103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</row>
    <row r="84" spans="2:88" ht="12.75" customHeight="1">
      <c r="B84" s="101" t="s">
        <v>517</v>
      </c>
      <c r="C84" s="767" t="s">
        <v>518</v>
      </c>
      <c r="D84" s="101"/>
      <c r="E84" s="102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7"/>
      <c r="AH84" s="107"/>
      <c r="AI84" s="107"/>
      <c r="AJ84" s="107"/>
      <c r="AK84" s="107"/>
      <c r="AL84" s="107"/>
      <c r="AM84" s="104"/>
      <c r="AN84" s="104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</row>
    <row r="85" spans="2:88" ht="12.75">
      <c r="B85" s="101" t="s">
        <v>519</v>
      </c>
      <c r="C85" s="768"/>
      <c r="D85" s="101"/>
      <c r="E85" s="102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7"/>
      <c r="AH85" s="107"/>
      <c r="AI85" s="107"/>
      <c r="AJ85" s="107"/>
      <c r="AK85" s="107"/>
      <c r="AL85" s="107"/>
      <c r="AM85" s="104"/>
      <c r="AN85" s="104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</row>
    <row r="86" spans="2:88" ht="12.75">
      <c r="B86" s="101" t="s">
        <v>520</v>
      </c>
      <c r="C86" s="769"/>
      <c r="D86" s="101"/>
      <c r="E86" s="102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7"/>
      <c r="AH86" s="107"/>
      <c r="AI86" s="107"/>
      <c r="AJ86" s="107"/>
      <c r="AK86" s="107"/>
      <c r="AL86" s="107"/>
      <c r="AM86" s="104"/>
      <c r="AN86" s="104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</row>
    <row r="87" spans="2:88" ht="12.75" customHeight="1">
      <c r="B87" s="101" t="s">
        <v>521</v>
      </c>
      <c r="C87" s="767" t="s">
        <v>522</v>
      </c>
      <c r="D87" s="108"/>
      <c r="E87" s="109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10"/>
      <c r="AO87" s="110"/>
      <c r="AP87" s="110"/>
      <c r="AQ87" s="110"/>
      <c r="AR87" s="110"/>
      <c r="AS87" s="111"/>
      <c r="AT87" s="111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</row>
    <row r="88" spans="2:88" ht="12.75">
      <c r="B88" s="101" t="s">
        <v>523</v>
      </c>
      <c r="C88" s="768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12"/>
      <c r="AO88" s="112"/>
      <c r="AP88" s="112"/>
      <c r="AQ88" s="112"/>
      <c r="AR88" s="112"/>
      <c r="AS88" s="104"/>
      <c r="AT88" s="104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</row>
    <row r="89" spans="2:88" ht="12.75">
      <c r="B89" s="101" t="s">
        <v>524</v>
      </c>
      <c r="C89" s="769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4"/>
      <c r="AO89" s="114"/>
      <c r="AP89" s="114"/>
      <c r="AQ89" s="114"/>
      <c r="AR89" s="114"/>
      <c r="AS89" s="115"/>
      <c r="AT89" s="115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</row>
    <row r="90" spans="2:88" ht="12.75" customHeight="1">
      <c r="B90" s="101" t="s">
        <v>525</v>
      </c>
      <c r="C90" s="767" t="s">
        <v>526</v>
      </c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6"/>
      <c r="AV90" s="116"/>
      <c r="AW90" s="116"/>
      <c r="AX90" s="116"/>
      <c r="AY90" s="116"/>
      <c r="AZ90" s="115"/>
      <c r="BA90" s="115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</row>
    <row r="91" spans="2:88" ht="12.75">
      <c r="B91" s="101" t="s">
        <v>527</v>
      </c>
      <c r="C91" s="768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6"/>
      <c r="AV91" s="116"/>
      <c r="AW91" s="116"/>
      <c r="AX91" s="116"/>
      <c r="AY91" s="116"/>
      <c r="AZ91" s="115"/>
      <c r="BA91" s="115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</row>
    <row r="92" spans="2:88" ht="12.75">
      <c r="B92" s="101" t="s">
        <v>528</v>
      </c>
      <c r="C92" s="769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6"/>
      <c r="AV92" s="116"/>
      <c r="AW92" s="116"/>
      <c r="AX92" s="116"/>
      <c r="AY92" s="116"/>
      <c r="AZ92" s="115"/>
      <c r="BA92" s="115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</row>
    <row r="93" spans="2:88" ht="12.75" customHeight="1">
      <c r="B93" s="101" t="s">
        <v>529</v>
      </c>
      <c r="C93" s="767" t="s">
        <v>530</v>
      </c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7"/>
      <c r="BC93" s="117"/>
      <c r="BD93" s="117"/>
      <c r="BE93" s="117"/>
      <c r="BF93" s="117"/>
      <c r="BG93" s="115"/>
      <c r="BH93" s="115"/>
      <c r="BI93" s="115"/>
      <c r="BJ93" s="113"/>
      <c r="BK93" s="113"/>
      <c r="BL93" s="113"/>
      <c r="BM93" s="113"/>
      <c r="BN93" s="113"/>
      <c r="BO93" s="113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113"/>
      <c r="CI93" s="113"/>
      <c r="CJ93" s="113"/>
    </row>
    <row r="94" spans="2:88" ht="12.75">
      <c r="B94" s="101" t="s">
        <v>531</v>
      </c>
      <c r="C94" s="768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7"/>
      <c r="BC94" s="117"/>
      <c r="BD94" s="117"/>
      <c r="BE94" s="117"/>
      <c r="BF94" s="117"/>
      <c r="BG94" s="115"/>
      <c r="BH94" s="115"/>
      <c r="BI94" s="115"/>
      <c r="BJ94" s="113"/>
      <c r="BK94" s="113"/>
      <c r="BL94" s="113"/>
      <c r="BM94" s="113"/>
      <c r="BN94" s="113"/>
      <c r="BO94" s="113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113"/>
      <c r="CI94" s="113"/>
      <c r="CJ94" s="113"/>
    </row>
    <row r="95" spans="2:88" ht="12.75">
      <c r="B95" s="101" t="s">
        <v>532</v>
      </c>
      <c r="C95" s="769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7"/>
      <c r="BC95" s="117"/>
      <c r="BD95" s="117"/>
      <c r="BE95" s="117"/>
      <c r="BF95" s="117"/>
      <c r="BG95" s="115"/>
      <c r="BH95" s="115"/>
      <c r="BI95" s="115"/>
      <c r="BJ95" s="113"/>
      <c r="BK95" s="113"/>
      <c r="BL95" s="113"/>
      <c r="BM95" s="113"/>
      <c r="BN95" s="113"/>
      <c r="BO95" s="113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113"/>
      <c r="CI95" s="113"/>
      <c r="CJ95" s="113"/>
    </row>
    <row r="96" spans="2:88" ht="12.75" customHeight="1">
      <c r="B96" s="101" t="s">
        <v>533</v>
      </c>
      <c r="C96" s="767" t="s">
        <v>534</v>
      </c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8"/>
      <c r="BK96" s="118"/>
      <c r="BL96" s="118"/>
      <c r="BM96" s="118"/>
      <c r="BN96" s="115"/>
      <c r="BO96" s="115"/>
      <c r="BP96" s="119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113"/>
      <c r="CI96" s="113"/>
      <c r="CJ96" s="113"/>
    </row>
    <row r="97" spans="2:88" ht="12.75">
      <c r="B97" s="101" t="s">
        <v>535</v>
      </c>
      <c r="C97" s="768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8"/>
      <c r="BK97" s="118"/>
      <c r="BL97" s="118"/>
      <c r="BM97" s="118"/>
      <c r="BN97" s="115"/>
      <c r="BO97" s="115"/>
      <c r="BP97" s="119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113"/>
      <c r="CI97" s="113"/>
      <c r="CJ97" s="113"/>
    </row>
    <row r="98" spans="2:88" ht="12.75">
      <c r="B98" s="101" t="s">
        <v>536</v>
      </c>
      <c r="C98" s="769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8"/>
      <c r="BK98" s="118"/>
      <c r="BL98" s="118"/>
      <c r="BM98" s="118"/>
      <c r="BN98" s="115"/>
      <c r="BO98" s="115"/>
      <c r="BP98" s="119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113"/>
      <c r="CI98" s="113"/>
      <c r="CJ98" s="113"/>
    </row>
    <row r="99" spans="2:88" ht="12.75" customHeight="1">
      <c r="B99" s="101" t="s">
        <v>537</v>
      </c>
      <c r="C99" s="767" t="s">
        <v>538</v>
      </c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97"/>
      <c r="BQ99" s="120"/>
      <c r="BR99" s="120"/>
      <c r="BS99" s="120"/>
      <c r="BT99" s="120"/>
      <c r="BU99" s="105"/>
      <c r="BV99" s="105"/>
      <c r="BW99" s="120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113"/>
      <c r="CI99" s="113"/>
      <c r="CJ99" s="113"/>
    </row>
    <row r="100" spans="2:88" ht="12.75">
      <c r="B100" s="101" t="s">
        <v>539</v>
      </c>
      <c r="C100" s="768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97"/>
      <c r="BQ100" s="120"/>
      <c r="BR100" s="120"/>
      <c r="BS100" s="120"/>
      <c r="BT100" s="120"/>
      <c r="BU100" s="105"/>
      <c r="BV100" s="105"/>
      <c r="BW100" s="120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113"/>
      <c r="CI100" s="113"/>
      <c r="CJ100" s="113"/>
    </row>
    <row r="101" spans="2:88" ht="12.75">
      <c r="B101" s="101" t="s">
        <v>540</v>
      </c>
      <c r="C101" s="769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97"/>
      <c r="BQ101" s="120"/>
      <c r="BR101" s="120"/>
      <c r="BS101" s="120"/>
      <c r="BT101" s="120"/>
      <c r="BU101" s="105"/>
      <c r="BV101" s="105"/>
      <c r="BW101" s="120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113"/>
      <c r="CI101" s="113"/>
      <c r="CJ101" s="113"/>
    </row>
    <row r="102" spans="2:88" ht="12.75" customHeight="1">
      <c r="B102" s="101" t="s">
        <v>541</v>
      </c>
      <c r="C102" s="767" t="s">
        <v>542</v>
      </c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97"/>
      <c r="BQ102" s="97"/>
      <c r="BR102" s="97"/>
      <c r="BS102" s="97"/>
      <c r="BT102" s="97"/>
      <c r="BU102" s="97"/>
      <c r="BV102" s="97"/>
      <c r="BW102" s="97"/>
      <c r="BX102" s="121"/>
      <c r="BY102" s="121"/>
      <c r="BZ102" s="121"/>
      <c r="CA102" s="121"/>
      <c r="CB102" s="105"/>
      <c r="CC102" s="105"/>
      <c r="CD102" s="121"/>
      <c r="CE102" s="97"/>
      <c r="CF102" s="97"/>
      <c r="CG102" s="97"/>
      <c r="CH102" s="113"/>
      <c r="CI102" s="113"/>
      <c r="CJ102" s="113"/>
    </row>
    <row r="103" spans="2:88" ht="12.75">
      <c r="B103" s="101" t="s">
        <v>543</v>
      </c>
      <c r="C103" s="768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97"/>
      <c r="BQ103" s="97"/>
      <c r="BR103" s="97"/>
      <c r="BS103" s="97"/>
      <c r="BT103" s="97"/>
      <c r="BU103" s="97"/>
      <c r="BV103" s="97"/>
      <c r="BW103" s="97"/>
      <c r="BX103" s="121"/>
      <c r="BY103" s="121"/>
      <c r="BZ103" s="121"/>
      <c r="CA103" s="121"/>
      <c r="CB103" s="105"/>
      <c r="CC103" s="105"/>
      <c r="CD103" s="121"/>
      <c r="CE103" s="97"/>
      <c r="CF103" s="97"/>
      <c r="CG103" s="97"/>
      <c r="CH103" s="113"/>
      <c r="CI103" s="113"/>
      <c r="CJ103" s="113"/>
    </row>
    <row r="104" spans="2:88" ht="12.75">
      <c r="B104" s="101" t="s">
        <v>544</v>
      </c>
      <c r="C104" s="769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97"/>
      <c r="BQ104" s="97"/>
      <c r="BR104" s="97"/>
      <c r="BS104" s="97"/>
      <c r="BT104" s="97"/>
      <c r="BU104" s="97"/>
      <c r="BV104" s="97"/>
      <c r="BW104" s="97"/>
      <c r="BX104" s="121"/>
      <c r="BY104" s="121"/>
      <c r="BZ104" s="121"/>
      <c r="CA104" s="121"/>
      <c r="CB104" s="105"/>
      <c r="CC104" s="105"/>
      <c r="CD104" s="121"/>
      <c r="CE104" s="97"/>
      <c r="CF104" s="97"/>
      <c r="CG104" s="97"/>
      <c r="CH104" s="113"/>
      <c r="CI104" s="113"/>
      <c r="CJ104" s="113"/>
    </row>
    <row r="105" spans="2:88" ht="12.75">
      <c r="B105" s="101" t="s">
        <v>545</v>
      </c>
      <c r="C105" s="106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122"/>
      <c r="CF105" s="122"/>
      <c r="CG105" s="122"/>
      <c r="CH105" s="113"/>
      <c r="CI105" s="113"/>
      <c r="CJ105" s="113"/>
    </row>
    <row r="106" spans="2:88" ht="12.75">
      <c r="B106" s="113" t="s">
        <v>576</v>
      </c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236"/>
      <c r="CE106" s="236"/>
      <c r="CF106" s="236"/>
      <c r="CG106" s="236"/>
      <c r="CH106" s="236"/>
      <c r="CI106" s="257"/>
      <c r="CJ106" s="257"/>
    </row>
    <row r="107" spans="2:88" ht="12.75"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256"/>
      <c r="BQ107" s="256"/>
      <c r="BR107" s="256"/>
      <c r="BS107" s="256"/>
      <c r="BT107" s="256"/>
      <c r="BU107" s="256"/>
      <c r="BV107" s="256"/>
      <c r="BW107" s="256"/>
      <c r="BX107" s="256"/>
      <c r="BY107" s="256"/>
      <c r="BZ107" s="256"/>
      <c r="CA107" s="256"/>
      <c r="CB107" s="256"/>
      <c r="CC107" s="256"/>
      <c r="CD107" s="256"/>
      <c r="CE107" s="256"/>
      <c r="CF107" s="256"/>
      <c r="CG107" s="256"/>
      <c r="CH107" s="256"/>
      <c r="CI107" s="256"/>
      <c r="CJ107" s="256"/>
    </row>
    <row r="108" spans="68:88" s="9" customFormat="1" ht="12.75"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</row>
    <row r="109" spans="68:88" s="9" customFormat="1" ht="12.75"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</row>
    <row r="110" spans="68:88" s="9" customFormat="1" ht="12.75"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</row>
    <row r="111" spans="68:88" s="9" customFormat="1" ht="12.75"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</row>
    <row r="112" spans="68:88" s="9" customFormat="1" ht="12.75"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129"/>
    </row>
    <row r="113" spans="68:88" s="9" customFormat="1" ht="12.75"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</row>
    <row r="114" spans="68:88" s="9" customFormat="1" ht="12.75"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</row>
    <row r="115" spans="68:88" s="9" customFormat="1" ht="12.75"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</row>
    <row r="116" spans="68:88" s="9" customFormat="1" ht="12.75"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</row>
    <row r="117" spans="68:88" s="9" customFormat="1" ht="12.75">
      <c r="BP117" s="129"/>
      <c r="BQ117" s="129"/>
      <c r="BR117" s="129"/>
      <c r="BS117" s="129"/>
      <c r="BT117" s="129"/>
      <c r="BU117" s="129"/>
      <c r="BV117" s="129"/>
      <c r="BW117" s="129"/>
      <c r="BX117" s="129"/>
      <c r="BY117" s="129"/>
      <c r="BZ117" s="129"/>
      <c r="CA117" s="129"/>
      <c r="CB117" s="129"/>
      <c r="CC117" s="129"/>
      <c r="CD117" s="129"/>
      <c r="CE117" s="129"/>
      <c r="CF117" s="129"/>
      <c r="CG117" s="129"/>
      <c r="CH117" s="129"/>
      <c r="CI117" s="129"/>
      <c r="CJ117" s="129"/>
    </row>
    <row r="118" spans="68:88" s="9" customFormat="1" ht="12.75"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29"/>
      <c r="CI118" s="129"/>
      <c r="CJ118" s="129"/>
    </row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</sheetData>
  <sheetProtection/>
  <mergeCells count="42">
    <mergeCell ref="C99:C101"/>
    <mergeCell ref="C102:C104"/>
    <mergeCell ref="C81:C83"/>
    <mergeCell ref="C84:C86"/>
    <mergeCell ref="C87:C89"/>
    <mergeCell ref="C90:C92"/>
    <mergeCell ref="C93:C95"/>
    <mergeCell ref="C96:C98"/>
    <mergeCell ref="BP9:BV9"/>
    <mergeCell ref="BW9:CC9"/>
    <mergeCell ref="CD9:CJ9"/>
    <mergeCell ref="BP10:BV10"/>
    <mergeCell ref="BW10:CC10"/>
    <mergeCell ref="CD10:CJ10"/>
    <mergeCell ref="BP8:CJ8"/>
    <mergeCell ref="A9:A11"/>
    <mergeCell ref="A3:D3"/>
    <mergeCell ref="BI9:BO9"/>
    <mergeCell ref="BI10:BO10"/>
    <mergeCell ref="AL8:BO8"/>
    <mergeCell ref="B4:O4"/>
    <mergeCell ref="A6:BO6"/>
    <mergeCell ref="E8:AK8"/>
    <mergeCell ref="E9:K9"/>
    <mergeCell ref="B9:B11"/>
    <mergeCell ref="BB9:BH9"/>
    <mergeCell ref="BB10:BH10"/>
    <mergeCell ref="C9:C11"/>
    <mergeCell ref="D9:D11"/>
    <mergeCell ref="AN9:AT9"/>
    <mergeCell ref="AN10:AT10"/>
    <mergeCell ref="AG9:AM9"/>
    <mergeCell ref="L9:R9"/>
    <mergeCell ref="AU9:BA9"/>
    <mergeCell ref="Z9:AF9"/>
    <mergeCell ref="S9:Y9"/>
    <mergeCell ref="Z10:AF10"/>
    <mergeCell ref="AG10:AM10"/>
    <mergeCell ref="AU10:BA10"/>
    <mergeCell ref="E10:K10"/>
    <mergeCell ref="L10:R10"/>
    <mergeCell ref="S10:Y10"/>
  </mergeCells>
  <conditionalFormatting sqref="C16:D16">
    <cfRule type="expression" priority="1" dxfId="0" stopIfTrue="1">
      <formula>#REF!=""</formula>
    </cfRule>
  </conditionalFormatting>
  <printOptions/>
  <pageMargins left="0.17" right="0.16" top="0.37" bottom="0.37" header="0.18" footer="0.19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19"/>
  <sheetViews>
    <sheetView zoomScale="90" zoomScaleNormal="90" zoomScalePageLayoutView="0" workbookViewId="0" topLeftCell="A279">
      <selection activeCell="S299" sqref="S299"/>
    </sheetView>
  </sheetViews>
  <sheetFormatPr defaultColWidth="9.00390625" defaultRowHeight="12.75"/>
  <cols>
    <col min="1" max="1" width="5.125" style="705" customWidth="1"/>
    <col min="2" max="2" width="38.75390625" style="8" customWidth="1"/>
    <col min="3" max="3" width="7.25390625" style="8" customWidth="1"/>
    <col min="4" max="4" width="9.00390625" style="346" customWidth="1"/>
    <col min="5" max="5" width="6.625" style="346" customWidth="1"/>
    <col min="6" max="6" width="38.00390625" style="8" customWidth="1"/>
    <col min="7" max="7" width="6.625" style="8" customWidth="1"/>
    <col min="8" max="8" width="7.375" style="8" customWidth="1"/>
    <col min="9" max="9" width="6.875" style="8" customWidth="1"/>
    <col min="10" max="10" width="7.75390625" style="8" customWidth="1"/>
    <col min="11" max="11" width="7.375" style="8" customWidth="1"/>
    <col min="12" max="12" width="8.00390625" style="8" customWidth="1"/>
    <col min="13" max="13" width="7.875" style="8" customWidth="1"/>
    <col min="14" max="14" width="7.00390625" style="8" customWidth="1"/>
    <col min="15" max="15" width="9.375" style="8" customWidth="1"/>
    <col min="16" max="16" width="8.625" style="8" customWidth="1"/>
    <col min="17" max="17" width="8.75390625" style="8" customWidth="1"/>
    <col min="18" max="18" width="8.25390625" style="8" customWidth="1"/>
    <col min="19" max="19" width="10.00390625" style="8" customWidth="1"/>
    <col min="20" max="20" width="8.25390625" style="8" hidden="1" customWidth="1"/>
    <col min="21" max="24" width="9.125" style="8" hidden="1" customWidth="1"/>
    <col min="25" max="25" width="8.125" style="8" hidden="1" customWidth="1"/>
    <col min="26" max="26" width="9.875" style="8" hidden="1" customWidth="1"/>
    <col min="27" max="27" width="9.125" style="8" hidden="1" customWidth="1"/>
    <col min="28" max="28" width="19.25390625" style="8" hidden="1" customWidth="1"/>
    <col min="29" max="32" width="9.125" style="9" customWidth="1"/>
    <col min="33" max="38" width="9.125" style="8" customWidth="1"/>
    <col min="39" max="16384" width="9.125" style="8" customWidth="1"/>
  </cols>
  <sheetData>
    <row r="1" spans="1:32" s="7" customFormat="1" ht="12.75">
      <c r="A1" s="698"/>
      <c r="D1" s="349"/>
      <c r="E1" s="349"/>
      <c r="AC1" s="580"/>
      <c r="AD1" s="580"/>
      <c r="AE1" s="580"/>
      <c r="AF1" s="580"/>
    </row>
    <row r="2" spans="1:32" s="7" customFormat="1" ht="12.75">
      <c r="A2" s="698"/>
      <c r="D2" s="349"/>
      <c r="E2" s="349"/>
      <c r="AC2" s="580"/>
      <c r="AD2" s="580"/>
      <c r="AE2" s="580"/>
      <c r="AF2" s="580"/>
    </row>
    <row r="3" spans="1:27" ht="16.5" customHeight="1">
      <c r="A3" s="765"/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  <c r="S3" s="765"/>
      <c r="T3" s="765"/>
      <c r="U3" s="765"/>
      <c r="V3" s="765"/>
      <c r="W3" s="765"/>
      <c r="X3" s="765"/>
      <c r="Y3" s="765"/>
      <c r="Z3" s="765"/>
      <c r="AA3" s="765"/>
    </row>
    <row r="4" spans="1:27" ht="12.75" customHeight="1">
      <c r="A4" s="765" t="s">
        <v>591</v>
      </c>
      <c r="B4" s="765"/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5"/>
      <c r="W4" s="765"/>
      <c r="X4" s="765"/>
      <c r="Y4" s="765"/>
      <c r="Z4" s="765"/>
      <c r="AA4" s="765"/>
    </row>
    <row r="5" spans="1:19" ht="12.75" customHeight="1">
      <c r="A5" s="803"/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03"/>
      <c r="S5" s="803"/>
    </row>
    <row r="6" spans="1:19" ht="12.75">
      <c r="A6" s="345"/>
      <c r="B6" s="27" t="s">
        <v>390</v>
      </c>
      <c r="C6" s="28"/>
      <c r="D6" s="350"/>
      <c r="E6" s="350"/>
      <c r="F6" s="28"/>
      <c r="G6" s="28"/>
      <c r="H6" s="28"/>
      <c r="I6" s="28"/>
      <c r="J6" s="28"/>
      <c r="K6" s="28"/>
      <c r="L6" s="28"/>
      <c r="M6" s="28"/>
      <c r="N6" s="28"/>
      <c r="O6" s="28"/>
      <c r="P6" s="9"/>
      <c r="Q6" s="9"/>
      <c r="R6" s="9"/>
      <c r="S6" s="9"/>
    </row>
    <row r="7" spans="2:19" ht="13.5" customHeight="1">
      <c r="B7" s="26" t="s">
        <v>391</v>
      </c>
      <c r="C7" s="26"/>
      <c r="D7" s="351"/>
      <c r="E7" s="351"/>
      <c r="F7" s="26"/>
      <c r="G7" s="26"/>
      <c r="H7" s="26"/>
      <c r="I7" s="26"/>
      <c r="J7" s="26"/>
      <c r="K7" s="26"/>
      <c r="L7" s="26"/>
      <c r="M7" s="26"/>
      <c r="N7" s="26"/>
      <c r="O7" s="26"/>
      <c r="P7" s="10"/>
      <c r="Q7" s="11"/>
      <c r="R7" s="12"/>
      <c r="S7" s="13"/>
    </row>
    <row r="8" spans="1:15" ht="14.25" customHeight="1">
      <c r="A8" s="346"/>
      <c r="B8" s="766" t="s">
        <v>392</v>
      </c>
      <c r="C8" s="766"/>
      <c r="D8" s="766"/>
      <c r="E8" s="766"/>
      <c r="F8" s="766"/>
      <c r="G8" s="766"/>
      <c r="H8" s="766"/>
      <c r="I8" s="766"/>
      <c r="J8" s="766"/>
      <c r="K8" s="766"/>
      <c r="L8" s="766"/>
      <c r="M8" s="766"/>
      <c r="N8" s="766"/>
      <c r="O8" s="766"/>
    </row>
    <row r="9" spans="1:19" ht="14.25" customHeight="1">
      <c r="A9" s="346"/>
      <c r="B9" s="3" t="s">
        <v>393</v>
      </c>
      <c r="C9" s="3"/>
      <c r="D9" s="351"/>
      <c r="E9" s="351"/>
      <c r="F9" s="3"/>
      <c r="G9" s="3"/>
      <c r="H9" s="3"/>
      <c r="I9" s="3"/>
      <c r="J9" s="3"/>
      <c r="K9" s="3"/>
      <c r="L9" s="3"/>
      <c r="M9" s="3"/>
      <c r="N9" s="3"/>
      <c r="O9" s="3"/>
      <c r="P9" s="14"/>
      <c r="Q9" s="14"/>
      <c r="R9" s="802"/>
      <c r="S9" s="802"/>
    </row>
    <row r="10" spans="1:19" ht="14.25" customHeight="1">
      <c r="A10" s="346"/>
      <c r="B10" s="766" t="s">
        <v>395</v>
      </c>
      <c r="C10" s="766"/>
      <c r="D10" s="766"/>
      <c r="E10" s="766"/>
      <c r="F10" s="766"/>
      <c r="G10" s="766"/>
      <c r="H10" s="766"/>
      <c r="I10" s="766"/>
      <c r="J10" s="766"/>
      <c r="K10" s="766"/>
      <c r="L10" s="766"/>
      <c r="M10" s="766"/>
      <c r="N10" s="766"/>
      <c r="O10" s="766"/>
      <c r="P10" s="64"/>
      <c r="Q10" s="64"/>
      <c r="R10" s="804"/>
      <c r="S10" s="804"/>
    </row>
    <row r="11" spans="1:32" s="7" customFormat="1" ht="12.75">
      <c r="A11" s="698"/>
      <c r="B11" s="41" t="s">
        <v>415</v>
      </c>
      <c r="D11" s="349"/>
      <c r="E11" s="349"/>
      <c r="AC11" s="580"/>
      <c r="AD11" s="580"/>
      <c r="AE11" s="580"/>
      <c r="AF11" s="580"/>
    </row>
    <row r="12" spans="1:19" ht="12.75">
      <c r="A12" s="700"/>
      <c r="B12" s="9"/>
      <c r="C12" s="9"/>
      <c r="D12" s="345"/>
      <c r="E12" s="34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3.5" thickBot="1">
      <c r="A13" s="706"/>
      <c r="B13" s="29"/>
      <c r="C13" s="810" t="s">
        <v>477</v>
      </c>
      <c r="D13" s="810"/>
      <c r="E13" s="701"/>
      <c r="F13" s="65"/>
      <c r="G13" s="810" t="s">
        <v>478</v>
      </c>
      <c r="H13" s="810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27" ht="44.25" customHeight="1" thickBot="1">
      <c r="A14" s="780" t="s">
        <v>0</v>
      </c>
      <c r="B14" s="777" t="s">
        <v>1</v>
      </c>
      <c r="C14" s="783" t="s">
        <v>332</v>
      </c>
      <c r="D14" s="786" t="s">
        <v>333</v>
      </c>
      <c r="E14" s="830" t="s">
        <v>1</v>
      </c>
      <c r="F14" s="831"/>
      <c r="G14" s="783" t="s">
        <v>332</v>
      </c>
      <c r="H14" s="838" t="s">
        <v>333</v>
      </c>
      <c r="I14" s="809" t="s">
        <v>334</v>
      </c>
      <c r="J14" s="809"/>
      <c r="K14" s="809"/>
      <c r="L14" s="809"/>
      <c r="M14" s="809"/>
      <c r="N14" s="809"/>
      <c r="O14" s="770" t="s">
        <v>335</v>
      </c>
      <c r="P14" s="771"/>
      <c r="Q14" s="771"/>
      <c r="R14" s="771"/>
      <c r="S14" s="772"/>
      <c r="T14" s="800" t="s">
        <v>438</v>
      </c>
      <c r="U14" s="800"/>
      <c r="V14" s="800"/>
      <c r="W14" s="800"/>
      <c r="X14" s="801"/>
      <c r="Y14" s="811" t="s">
        <v>396</v>
      </c>
      <c r="Z14" s="812"/>
      <c r="AA14" s="789" t="s">
        <v>397</v>
      </c>
    </row>
    <row r="15" spans="1:27" ht="12.75">
      <c r="A15" s="781"/>
      <c r="B15" s="778"/>
      <c r="C15" s="784"/>
      <c r="D15" s="787"/>
      <c r="E15" s="832"/>
      <c r="F15" s="833"/>
      <c r="G15" s="784"/>
      <c r="H15" s="839"/>
      <c r="I15" s="773" t="s">
        <v>336</v>
      </c>
      <c r="J15" s="775" t="s">
        <v>337</v>
      </c>
      <c r="K15" s="775" t="s">
        <v>338</v>
      </c>
      <c r="L15" s="775" t="s">
        <v>339</v>
      </c>
      <c r="M15" s="805" t="s">
        <v>340</v>
      </c>
      <c r="N15" s="805" t="s">
        <v>345</v>
      </c>
      <c r="O15" s="807" t="s">
        <v>341</v>
      </c>
      <c r="P15" s="775" t="s">
        <v>338</v>
      </c>
      <c r="Q15" s="775" t="s">
        <v>342</v>
      </c>
      <c r="R15" s="805" t="s">
        <v>343</v>
      </c>
      <c r="S15" s="817" t="s">
        <v>344</v>
      </c>
      <c r="T15" s="792" t="s">
        <v>333</v>
      </c>
      <c r="U15" s="794" t="s">
        <v>398</v>
      </c>
      <c r="V15" s="794" t="s">
        <v>399</v>
      </c>
      <c r="W15" s="794" t="s">
        <v>400</v>
      </c>
      <c r="X15" s="796" t="s">
        <v>401</v>
      </c>
      <c r="Y15" s="798" t="s">
        <v>333</v>
      </c>
      <c r="Z15" s="819" t="s">
        <v>401</v>
      </c>
      <c r="AA15" s="790"/>
    </row>
    <row r="16" spans="1:29" ht="88.5" customHeight="1" thickBot="1">
      <c r="A16" s="782"/>
      <c r="B16" s="779"/>
      <c r="C16" s="785"/>
      <c r="D16" s="788"/>
      <c r="E16" s="834"/>
      <c r="F16" s="835"/>
      <c r="G16" s="785"/>
      <c r="H16" s="840"/>
      <c r="I16" s="774"/>
      <c r="J16" s="776"/>
      <c r="K16" s="776"/>
      <c r="L16" s="776"/>
      <c r="M16" s="806"/>
      <c r="N16" s="806"/>
      <c r="O16" s="808"/>
      <c r="P16" s="776"/>
      <c r="Q16" s="776"/>
      <c r="R16" s="806"/>
      <c r="S16" s="818"/>
      <c r="T16" s="793"/>
      <c r="U16" s="795"/>
      <c r="V16" s="795"/>
      <c r="W16" s="795"/>
      <c r="X16" s="797"/>
      <c r="Y16" s="799"/>
      <c r="Z16" s="820"/>
      <c r="AA16" s="791"/>
      <c r="AC16" s="25"/>
    </row>
    <row r="17" spans="1:45" ht="14.25" customHeight="1" thickBot="1">
      <c r="A17" s="258">
        <v>1</v>
      </c>
      <c r="B17" s="353">
        <v>2</v>
      </c>
      <c r="C17" s="575">
        <v>3</v>
      </c>
      <c r="D17" s="550">
        <v>4</v>
      </c>
      <c r="E17" s="687"/>
      <c r="F17" s="368"/>
      <c r="G17" s="516"/>
      <c r="H17" s="484"/>
      <c r="I17" s="356">
        <v>5</v>
      </c>
      <c r="J17" s="258">
        <v>6</v>
      </c>
      <c r="K17" s="258">
        <v>7</v>
      </c>
      <c r="L17" s="258">
        <v>8</v>
      </c>
      <c r="M17" s="258">
        <v>9</v>
      </c>
      <c r="N17" s="402">
        <v>10</v>
      </c>
      <c r="O17" s="421">
        <v>11</v>
      </c>
      <c r="P17" s="258">
        <v>12</v>
      </c>
      <c r="Q17" s="258">
        <v>13</v>
      </c>
      <c r="R17" s="258">
        <v>14</v>
      </c>
      <c r="S17" s="260">
        <v>15</v>
      </c>
      <c r="T17" s="406">
        <v>16</v>
      </c>
      <c r="U17" s="261">
        <v>17</v>
      </c>
      <c r="V17" s="261">
        <v>18</v>
      </c>
      <c r="W17" s="261">
        <v>19</v>
      </c>
      <c r="X17" s="262">
        <v>20</v>
      </c>
      <c r="Y17" s="263">
        <v>21</v>
      </c>
      <c r="Z17" s="264">
        <v>22</v>
      </c>
      <c r="AA17" s="265">
        <v>23</v>
      </c>
      <c r="AB17" s="266"/>
      <c r="AC17" s="581"/>
      <c r="AD17" s="581"/>
      <c r="AE17" s="581"/>
      <c r="AF17" s="581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</row>
    <row r="18" spans="1:45" ht="15" customHeight="1">
      <c r="A18" s="318" t="s">
        <v>38</v>
      </c>
      <c r="B18" s="435" t="s">
        <v>91</v>
      </c>
      <c r="C18" s="517"/>
      <c r="D18" s="551"/>
      <c r="E18" s="390" t="s">
        <v>38</v>
      </c>
      <c r="F18" s="435" t="s">
        <v>91</v>
      </c>
      <c r="G18" s="517"/>
      <c r="H18" s="485"/>
      <c r="I18" s="357"/>
      <c r="J18" s="268"/>
      <c r="K18" s="269"/>
      <c r="L18" s="269"/>
      <c r="M18" s="269"/>
      <c r="N18" s="403"/>
      <c r="O18" s="422"/>
      <c r="P18" s="269"/>
      <c r="Q18" s="269"/>
      <c r="R18" s="269"/>
      <c r="S18" s="423"/>
      <c r="T18" s="407"/>
      <c r="U18" s="270"/>
      <c r="V18" s="270"/>
      <c r="W18" s="270"/>
      <c r="X18" s="271"/>
      <c r="Y18" s="272"/>
      <c r="Z18" s="273"/>
      <c r="AA18" s="274"/>
      <c r="AB18" s="266"/>
      <c r="AC18" s="581"/>
      <c r="AD18" s="581"/>
      <c r="AE18" s="581"/>
      <c r="AF18" s="581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</row>
    <row r="19" spans="1:45" ht="15" customHeight="1">
      <c r="A19" s="281" t="s">
        <v>2</v>
      </c>
      <c r="B19" s="436" t="s">
        <v>84</v>
      </c>
      <c r="C19" s="518" t="s">
        <v>3</v>
      </c>
      <c r="D19" s="552">
        <v>244.8</v>
      </c>
      <c r="E19" s="370" t="s">
        <v>2</v>
      </c>
      <c r="F19" s="436" t="s">
        <v>84</v>
      </c>
      <c r="G19" s="518" t="s">
        <v>3</v>
      </c>
      <c r="H19" s="486">
        <v>244.8</v>
      </c>
      <c r="I19" s="343">
        <v>0.022727272727272728</v>
      </c>
      <c r="J19" s="277">
        <v>2.2</v>
      </c>
      <c r="K19" s="277">
        <v>0.05</v>
      </c>
      <c r="L19" s="277"/>
      <c r="M19" s="277">
        <v>0.05</v>
      </c>
      <c r="N19" s="300">
        <f>K19+L19+M19</f>
        <v>0.1</v>
      </c>
      <c r="O19" s="424">
        <f>H19*I19</f>
        <v>5.563636363636364</v>
      </c>
      <c r="P19" s="277">
        <f>H19*K19</f>
        <v>12.240000000000002</v>
      </c>
      <c r="Q19" s="277">
        <f>H19*L19</f>
        <v>0</v>
      </c>
      <c r="R19" s="277">
        <f>H19*M19</f>
        <v>12.240000000000002</v>
      </c>
      <c r="S19" s="369">
        <f>P19+Q19+R19</f>
        <v>24.480000000000004</v>
      </c>
      <c r="T19" s="408"/>
      <c r="U19" s="275"/>
      <c r="V19" s="275"/>
      <c r="W19" s="275"/>
      <c r="X19" s="275"/>
      <c r="Y19" s="275">
        <v>244.8</v>
      </c>
      <c r="Z19" s="275">
        <v>24.48</v>
      </c>
      <c r="AA19" s="275">
        <f>S19-X19-Z19</f>
        <v>0</v>
      </c>
      <c r="AB19" s="278"/>
      <c r="AC19" s="581"/>
      <c r="AD19" s="581"/>
      <c r="AE19" s="581"/>
      <c r="AF19" s="582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</row>
    <row r="20" spans="1:45" ht="15" customHeight="1">
      <c r="A20" s="281" t="s">
        <v>9</v>
      </c>
      <c r="B20" s="436" t="s">
        <v>306</v>
      </c>
      <c r="C20" s="518" t="s">
        <v>4</v>
      </c>
      <c r="D20" s="552">
        <v>112</v>
      </c>
      <c r="E20" s="370" t="s">
        <v>9</v>
      </c>
      <c r="F20" s="436" t="s">
        <v>306</v>
      </c>
      <c r="G20" s="518" t="s">
        <v>4</v>
      </c>
      <c r="H20" s="486">
        <v>112</v>
      </c>
      <c r="I20" s="343">
        <v>0.13636363636363635</v>
      </c>
      <c r="J20" s="277">
        <v>2.2</v>
      </c>
      <c r="K20" s="277">
        <v>0.3</v>
      </c>
      <c r="L20" s="277"/>
      <c r="M20" s="277">
        <v>0.3</v>
      </c>
      <c r="N20" s="300">
        <v>0.6</v>
      </c>
      <c r="O20" s="424">
        <f aca="true" t="shared" si="0" ref="O20:O35">H20*I20</f>
        <v>15.272727272727272</v>
      </c>
      <c r="P20" s="277">
        <f aca="true" t="shared" si="1" ref="P20:P35">H20*K20</f>
        <v>33.6</v>
      </c>
      <c r="Q20" s="277">
        <f aca="true" t="shared" si="2" ref="Q20:Q35">H20*L20</f>
        <v>0</v>
      </c>
      <c r="R20" s="277">
        <f aca="true" t="shared" si="3" ref="R20:R35">H20*M20</f>
        <v>33.6</v>
      </c>
      <c r="S20" s="369">
        <f aca="true" t="shared" si="4" ref="S20:S35">P20+Q20+R20</f>
        <v>67.2</v>
      </c>
      <c r="T20" s="408">
        <v>0</v>
      </c>
      <c r="U20" s="275">
        <f aca="true" t="shared" si="5" ref="U20:U25">ROUND(T20*K20,2)</f>
        <v>0</v>
      </c>
      <c r="V20" s="275">
        <f aca="true" t="shared" si="6" ref="V20:V25">ROUND(T20*L20,2)</f>
        <v>0</v>
      </c>
      <c r="W20" s="275">
        <f aca="true" t="shared" si="7" ref="W20:W25">T20*M20</f>
        <v>0</v>
      </c>
      <c r="X20" s="280">
        <f aca="true" t="shared" si="8" ref="X20:X25">U20+V20+W20</f>
        <v>0</v>
      </c>
      <c r="Y20" s="275">
        <v>0</v>
      </c>
      <c r="Z20" s="275">
        <v>0</v>
      </c>
      <c r="AA20" s="275">
        <f aca="true" t="shared" si="9" ref="AA20:AA35">S20-X20-Z20</f>
        <v>67.2</v>
      </c>
      <c r="AB20" s="278"/>
      <c r="AC20" s="581"/>
      <c r="AD20" s="581"/>
      <c r="AE20" s="581"/>
      <c r="AF20" s="582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</row>
    <row r="21" spans="1:45" ht="15" customHeight="1">
      <c r="A21" s="281" t="s">
        <v>11</v>
      </c>
      <c r="B21" s="436" t="s">
        <v>307</v>
      </c>
      <c r="C21" s="518" t="s">
        <v>4</v>
      </c>
      <c r="D21" s="552">
        <v>103.44</v>
      </c>
      <c r="E21" s="370" t="s">
        <v>11</v>
      </c>
      <c r="F21" s="436" t="s">
        <v>307</v>
      </c>
      <c r="G21" s="518" t="s">
        <v>4</v>
      </c>
      <c r="H21" s="486">
        <v>103.44</v>
      </c>
      <c r="I21" s="343">
        <v>0.22727272727272727</v>
      </c>
      <c r="J21" s="277">
        <v>2.2</v>
      </c>
      <c r="K21" s="277">
        <v>0.5</v>
      </c>
      <c r="L21" s="277"/>
      <c r="M21" s="277">
        <v>0.05</v>
      </c>
      <c r="N21" s="300">
        <v>0.55</v>
      </c>
      <c r="O21" s="424">
        <f t="shared" si="0"/>
        <v>23.509090909090908</v>
      </c>
      <c r="P21" s="277">
        <f t="shared" si="1"/>
        <v>51.72</v>
      </c>
      <c r="Q21" s="277">
        <f t="shared" si="2"/>
        <v>0</v>
      </c>
      <c r="R21" s="277">
        <f t="shared" si="3"/>
        <v>5.172000000000001</v>
      </c>
      <c r="S21" s="369">
        <f t="shared" si="4"/>
        <v>56.891999999999996</v>
      </c>
      <c r="T21" s="408"/>
      <c r="U21" s="275">
        <f t="shared" si="5"/>
        <v>0</v>
      </c>
      <c r="V21" s="275">
        <f t="shared" si="6"/>
        <v>0</v>
      </c>
      <c r="W21" s="275">
        <f t="shared" si="7"/>
        <v>0</v>
      </c>
      <c r="X21" s="280">
        <f t="shared" si="8"/>
        <v>0</v>
      </c>
      <c r="Y21" s="275">
        <v>103.44</v>
      </c>
      <c r="Z21" s="275">
        <v>56.89</v>
      </c>
      <c r="AA21" s="275">
        <f t="shared" si="9"/>
        <v>0.001999999999995339</v>
      </c>
      <c r="AB21" s="278"/>
      <c r="AC21" s="581"/>
      <c r="AD21" s="581"/>
      <c r="AE21" s="581"/>
      <c r="AF21" s="582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</row>
    <row r="22" spans="1:45" ht="15" customHeight="1">
      <c r="A22" s="281" t="s">
        <v>14</v>
      </c>
      <c r="B22" s="436" t="s">
        <v>308</v>
      </c>
      <c r="C22" s="518" t="s">
        <v>4</v>
      </c>
      <c r="D22" s="552">
        <v>30.45</v>
      </c>
      <c r="E22" s="370" t="s">
        <v>14</v>
      </c>
      <c r="F22" s="436" t="s">
        <v>308</v>
      </c>
      <c r="G22" s="518" t="s">
        <v>4</v>
      </c>
      <c r="H22" s="486">
        <v>30.45</v>
      </c>
      <c r="I22" s="343">
        <v>0.22727272727272727</v>
      </c>
      <c r="J22" s="277">
        <v>2.2</v>
      </c>
      <c r="K22" s="277">
        <v>0.5</v>
      </c>
      <c r="L22" s="277"/>
      <c r="M22" s="277">
        <v>0.1</v>
      </c>
      <c r="N22" s="300">
        <v>0.6</v>
      </c>
      <c r="O22" s="424">
        <f t="shared" si="0"/>
        <v>6.920454545454545</v>
      </c>
      <c r="P22" s="277">
        <f t="shared" si="1"/>
        <v>15.225</v>
      </c>
      <c r="Q22" s="277">
        <f t="shared" si="2"/>
        <v>0</v>
      </c>
      <c r="R22" s="277">
        <f t="shared" si="3"/>
        <v>3.045</v>
      </c>
      <c r="S22" s="369">
        <f>P22+Q22+R22+0.01</f>
        <v>18.28</v>
      </c>
      <c r="T22" s="408">
        <v>0</v>
      </c>
      <c r="U22" s="275">
        <f t="shared" si="5"/>
        <v>0</v>
      </c>
      <c r="V22" s="275">
        <f t="shared" si="6"/>
        <v>0</v>
      </c>
      <c r="W22" s="275">
        <f t="shared" si="7"/>
        <v>0</v>
      </c>
      <c r="X22" s="280">
        <f t="shared" si="8"/>
        <v>0</v>
      </c>
      <c r="Y22" s="275">
        <v>15</v>
      </c>
      <c r="Z22" s="275">
        <v>9</v>
      </c>
      <c r="AA22" s="275">
        <f t="shared" si="9"/>
        <v>9.280000000000001</v>
      </c>
      <c r="AB22" s="278"/>
      <c r="AC22" s="581"/>
      <c r="AD22" s="581"/>
      <c r="AE22" s="581"/>
      <c r="AF22" s="582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</row>
    <row r="23" spans="1:45" ht="26.25" customHeight="1">
      <c r="A23" s="281" t="s">
        <v>32</v>
      </c>
      <c r="B23" s="437" t="s">
        <v>172</v>
      </c>
      <c r="C23" s="519" t="s">
        <v>4</v>
      </c>
      <c r="D23" s="553">
        <v>159</v>
      </c>
      <c r="E23" s="370" t="s">
        <v>32</v>
      </c>
      <c r="F23" s="437" t="s">
        <v>172</v>
      </c>
      <c r="G23" s="519" t="s">
        <v>4</v>
      </c>
      <c r="H23" s="487">
        <v>159</v>
      </c>
      <c r="I23" s="343">
        <v>0.22727272727272727</v>
      </c>
      <c r="J23" s="277">
        <v>2.2</v>
      </c>
      <c r="K23" s="277">
        <v>0.5</v>
      </c>
      <c r="L23" s="277">
        <v>0.2</v>
      </c>
      <c r="M23" s="277">
        <v>1.35</v>
      </c>
      <c r="N23" s="300">
        <v>2.05</v>
      </c>
      <c r="O23" s="424">
        <f t="shared" si="0"/>
        <v>36.13636363636363</v>
      </c>
      <c r="P23" s="277">
        <f t="shared" si="1"/>
        <v>79.5</v>
      </c>
      <c r="Q23" s="277">
        <f t="shared" si="2"/>
        <v>31.8</v>
      </c>
      <c r="R23" s="277">
        <f t="shared" si="3"/>
        <v>214.65</v>
      </c>
      <c r="S23" s="369">
        <f t="shared" si="4"/>
        <v>325.95</v>
      </c>
      <c r="T23" s="408"/>
      <c r="U23" s="275">
        <f t="shared" si="5"/>
        <v>0</v>
      </c>
      <c r="V23" s="275">
        <f t="shared" si="6"/>
        <v>0</v>
      </c>
      <c r="W23" s="275">
        <f t="shared" si="7"/>
        <v>0</v>
      </c>
      <c r="X23" s="280">
        <f t="shared" si="8"/>
        <v>0</v>
      </c>
      <c r="Y23" s="275">
        <v>159</v>
      </c>
      <c r="Z23" s="275">
        <v>325.95</v>
      </c>
      <c r="AA23" s="275">
        <f t="shared" si="9"/>
        <v>0</v>
      </c>
      <c r="AB23" s="278"/>
      <c r="AC23" s="581"/>
      <c r="AD23" s="581"/>
      <c r="AE23" s="581"/>
      <c r="AF23" s="582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</row>
    <row r="24" spans="1:45" ht="15" customHeight="1">
      <c r="A24" s="281" t="s">
        <v>36</v>
      </c>
      <c r="B24" s="438" t="s">
        <v>173</v>
      </c>
      <c r="C24" s="519" t="s">
        <v>4</v>
      </c>
      <c r="D24" s="553">
        <v>105.6</v>
      </c>
      <c r="E24" s="370" t="s">
        <v>36</v>
      </c>
      <c r="F24" s="438" t="s">
        <v>173</v>
      </c>
      <c r="G24" s="519" t="s">
        <v>4</v>
      </c>
      <c r="H24" s="487">
        <v>105.6</v>
      </c>
      <c r="I24" s="343">
        <v>0.22727272727272727</v>
      </c>
      <c r="J24" s="277">
        <v>2.2</v>
      </c>
      <c r="K24" s="277">
        <v>0.5</v>
      </c>
      <c r="L24" s="277"/>
      <c r="M24" s="277">
        <v>0.3</v>
      </c>
      <c r="N24" s="300">
        <v>0.8</v>
      </c>
      <c r="O24" s="424">
        <f t="shared" si="0"/>
        <v>23.999999999999996</v>
      </c>
      <c r="P24" s="277">
        <f t="shared" si="1"/>
        <v>52.8</v>
      </c>
      <c r="Q24" s="277">
        <f t="shared" si="2"/>
        <v>0</v>
      </c>
      <c r="R24" s="277">
        <f t="shared" si="3"/>
        <v>31.679999999999996</v>
      </c>
      <c r="S24" s="369">
        <f t="shared" si="4"/>
        <v>84.47999999999999</v>
      </c>
      <c r="T24" s="408"/>
      <c r="U24" s="275">
        <f t="shared" si="5"/>
        <v>0</v>
      </c>
      <c r="V24" s="275">
        <f t="shared" si="6"/>
        <v>0</v>
      </c>
      <c r="W24" s="275">
        <f t="shared" si="7"/>
        <v>0</v>
      </c>
      <c r="X24" s="280">
        <f t="shared" si="8"/>
        <v>0</v>
      </c>
      <c r="Y24" s="275">
        <v>105.6</v>
      </c>
      <c r="Z24" s="275">
        <v>84.48</v>
      </c>
      <c r="AA24" s="275">
        <f t="shared" si="9"/>
        <v>0</v>
      </c>
      <c r="AB24" s="278"/>
      <c r="AC24" s="581"/>
      <c r="AD24" s="581"/>
      <c r="AE24" s="581"/>
      <c r="AF24" s="582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</row>
    <row r="25" spans="1:45" ht="15" customHeight="1">
      <c r="A25" s="281" t="s">
        <v>41</v>
      </c>
      <c r="B25" s="439" t="s">
        <v>174</v>
      </c>
      <c r="C25" s="518" t="s">
        <v>4</v>
      </c>
      <c r="D25" s="552">
        <v>31.2</v>
      </c>
      <c r="E25" s="370" t="s">
        <v>41</v>
      </c>
      <c r="F25" s="439" t="s">
        <v>174</v>
      </c>
      <c r="G25" s="518" t="s">
        <v>4</v>
      </c>
      <c r="H25" s="486">
        <v>31.2</v>
      </c>
      <c r="I25" s="343">
        <v>0.45454545454545453</v>
      </c>
      <c r="J25" s="277">
        <v>2.2</v>
      </c>
      <c r="K25" s="277">
        <v>1</v>
      </c>
      <c r="L25" s="277">
        <v>0.2</v>
      </c>
      <c r="M25" s="277">
        <v>0.1</v>
      </c>
      <c r="N25" s="300">
        <v>1.3</v>
      </c>
      <c r="O25" s="424">
        <f t="shared" si="0"/>
        <v>14.181818181818182</v>
      </c>
      <c r="P25" s="277">
        <f t="shared" si="1"/>
        <v>31.2</v>
      </c>
      <c r="Q25" s="277">
        <f t="shared" si="2"/>
        <v>6.24</v>
      </c>
      <c r="R25" s="277">
        <f t="shared" si="3"/>
        <v>3.12</v>
      </c>
      <c r="S25" s="369">
        <f t="shared" si="4"/>
        <v>40.559999999999995</v>
      </c>
      <c r="T25" s="409">
        <v>0</v>
      </c>
      <c r="U25" s="275">
        <f t="shared" si="5"/>
        <v>0</v>
      </c>
      <c r="V25" s="275">
        <f t="shared" si="6"/>
        <v>0</v>
      </c>
      <c r="W25" s="275">
        <f t="shared" si="7"/>
        <v>0</v>
      </c>
      <c r="X25" s="280">
        <f t="shared" si="8"/>
        <v>0</v>
      </c>
      <c r="Y25" s="275">
        <v>31.2</v>
      </c>
      <c r="Z25" s="275">
        <v>40.56</v>
      </c>
      <c r="AA25" s="275">
        <f t="shared" si="9"/>
        <v>0</v>
      </c>
      <c r="AB25" s="278"/>
      <c r="AC25" s="581"/>
      <c r="AD25" s="581"/>
      <c r="AE25" s="581"/>
      <c r="AF25" s="582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</row>
    <row r="26" spans="1:45" ht="15" customHeight="1">
      <c r="A26" s="281" t="s">
        <v>85</v>
      </c>
      <c r="B26" s="436" t="s">
        <v>5</v>
      </c>
      <c r="C26" s="518" t="s">
        <v>3</v>
      </c>
      <c r="D26" s="552">
        <v>243.6</v>
      </c>
      <c r="E26" s="370" t="s">
        <v>85</v>
      </c>
      <c r="F26" s="436" t="s">
        <v>5</v>
      </c>
      <c r="G26" s="518" t="s">
        <v>3</v>
      </c>
      <c r="H26" s="486">
        <v>243.6</v>
      </c>
      <c r="I26" s="343">
        <v>0.06818181818181818</v>
      </c>
      <c r="J26" s="277">
        <v>2.2</v>
      </c>
      <c r="K26" s="277">
        <v>0.15</v>
      </c>
      <c r="L26" s="277"/>
      <c r="M26" s="277">
        <v>0.1</v>
      </c>
      <c r="N26" s="300">
        <v>0.25</v>
      </c>
      <c r="O26" s="424">
        <f t="shared" si="0"/>
        <v>16.609090909090906</v>
      </c>
      <c r="P26" s="277">
        <f t="shared" si="1"/>
        <v>36.54</v>
      </c>
      <c r="Q26" s="277">
        <f t="shared" si="2"/>
        <v>0</v>
      </c>
      <c r="R26" s="277">
        <f t="shared" si="3"/>
        <v>24.36</v>
      </c>
      <c r="S26" s="369">
        <f t="shared" si="4"/>
        <v>60.9</v>
      </c>
      <c r="T26" s="408"/>
      <c r="U26" s="275">
        <f aca="true" t="shared" si="10" ref="U26:U35">ROUND(T26*K26,2)</f>
        <v>0</v>
      </c>
      <c r="V26" s="275">
        <f aca="true" t="shared" si="11" ref="V26:V35">ROUND(T26*L26,2)</f>
        <v>0</v>
      </c>
      <c r="W26" s="275">
        <f aca="true" t="shared" si="12" ref="W26:W35">T26*M26</f>
        <v>0</v>
      </c>
      <c r="X26" s="280">
        <f aca="true" t="shared" si="13" ref="X26:X35">U26+V26+W26</f>
        <v>0</v>
      </c>
      <c r="Y26" s="275">
        <v>243.6</v>
      </c>
      <c r="Z26" s="275">
        <v>60.9</v>
      </c>
      <c r="AA26" s="275">
        <f t="shared" si="9"/>
        <v>0</v>
      </c>
      <c r="AB26" s="278"/>
      <c r="AC26" s="581"/>
      <c r="AD26" s="581"/>
      <c r="AE26" s="581"/>
      <c r="AF26" s="582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</row>
    <row r="27" spans="1:45" s="79" customFormat="1" ht="27.75" customHeight="1">
      <c r="A27" s="281" t="s">
        <v>42</v>
      </c>
      <c r="B27" s="440" t="s">
        <v>175</v>
      </c>
      <c r="C27" s="519" t="s">
        <v>39</v>
      </c>
      <c r="D27" s="553">
        <v>885.4</v>
      </c>
      <c r="E27" s="372" t="s">
        <v>42</v>
      </c>
      <c r="F27" s="440" t="s">
        <v>175</v>
      </c>
      <c r="G27" s="520" t="s">
        <v>4</v>
      </c>
      <c r="H27" s="487">
        <v>885.4</v>
      </c>
      <c r="I27" s="343">
        <v>0.022727272727272728</v>
      </c>
      <c r="J27" s="277">
        <v>2.2</v>
      </c>
      <c r="K27" s="277">
        <v>0.05</v>
      </c>
      <c r="L27" s="277"/>
      <c r="M27" s="277">
        <v>0.05</v>
      </c>
      <c r="N27" s="300">
        <v>0.1</v>
      </c>
      <c r="O27" s="424">
        <f t="shared" si="0"/>
        <v>20.12272727272727</v>
      </c>
      <c r="P27" s="277">
        <f t="shared" si="1"/>
        <v>44.27</v>
      </c>
      <c r="Q27" s="277">
        <f t="shared" si="2"/>
        <v>0</v>
      </c>
      <c r="R27" s="277">
        <f t="shared" si="3"/>
        <v>44.27</v>
      </c>
      <c r="S27" s="369">
        <f t="shared" si="4"/>
        <v>88.54</v>
      </c>
      <c r="T27" s="408"/>
      <c r="U27" s="275">
        <f t="shared" si="10"/>
        <v>0</v>
      </c>
      <c r="V27" s="275">
        <f t="shared" si="11"/>
        <v>0</v>
      </c>
      <c r="W27" s="275">
        <f t="shared" si="12"/>
        <v>0</v>
      </c>
      <c r="X27" s="280">
        <f t="shared" si="13"/>
        <v>0</v>
      </c>
      <c r="Y27" s="275">
        <v>885.4</v>
      </c>
      <c r="Z27" s="275">
        <v>88.54</v>
      </c>
      <c r="AA27" s="275">
        <f t="shared" si="9"/>
        <v>0</v>
      </c>
      <c r="AB27" s="278"/>
      <c r="AC27" s="581"/>
      <c r="AD27" s="581"/>
      <c r="AE27" s="581"/>
      <c r="AF27" s="582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</row>
    <row r="28" spans="1:45" ht="15" customHeight="1">
      <c r="A28" s="281" t="s">
        <v>43</v>
      </c>
      <c r="B28" s="441" t="s">
        <v>109</v>
      </c>
      <c r="C28" s="521" t="s">
        <v>3</v>
      </c>
      <c r="D28" s="552">
        <v>42.1</v>
      </c>
      <c r="E28" s="370" t="s">
        <v>43</v>
      </c>
      <c r="F28" s="441" t="s">
        <v>109</v>
      </c>
      <c r="G28" s="521" t="s">
        <v>3</v>
      </c>
      <c r="H28" s="486">
        <v>42.1</v>
      </c>
      <c r="I28" s="343">
        <v>0.11363636363636363</v>
      </c>
      <c r="J28" s="277">
        <v>2.2</v>
      </c>
      <c r="K28" s="277">
        <v>0.25</v>
      </c>
      <c r="L28" s="277"/>
      <c r="M28" s="277">
        <v>0.05</v>
      </c>
      <c r="N28" s="300">
        <v>0.3</v>
      </c>
      <c r="O28" s="424">
        <f t="shared" si="0"/>
        <v>4.784090909090909</v>
      </c>
      <c r="P28" s="277">
        <f t="shared" si="1"/>
        <v>10.525</v>
      </c>
      <c r="Q28" s="277">
        <f t="shared" si="2"/>
        <v>0</v>
      </c>
      <c r="R28" s="277">
        <f t="shared" si="3"/>
        <v>2.105</v>
      </c>
      <c r="S28" s="369">
        <f>P28+Q28+R28+0.01</f>
        <v>12.64</v>
      </c>
      <c r="T28" s="408"/>
      <c r="U28" s="275">
        <f t="shared" si="10"/>
        <v>0</v>
      </c>
      <c r="V28" s="275">
        <f t="shared" si="11"/>
        <v>0</v>
      </c>
      <c r="W28" s="275">
        <f t="shared" si="12"/>
        <v>0</v>
      </c>
      <c r="X28" s="280">
        <f t="shared" si="13"/>
        <v>0</v>
      </c>
      <c r="Y28" s="275">
        <v>42.1</v>
      </c>
      <c r="Z28" s="275">
        <v>12.64</v>
      </c>
      <c r="AA28" s="275">
        <f t="shared" si="9"/>
        <v>0</v>
      </c>
      <c r="AB28" s="278"/>
      <c r="AC28" s="581"/>
      <c r="AD28" s="581"/>
      <c r="AE28" s="581"/>
      <c r="AF28" s="582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</row>
    <row r="29" spans="1:45" ht="15" customHeight="1">
      <c r="A29" s="281" t="s">
        <v>44</v>
      </c>
      <c r="B29" s="438" t="s">
        <v>137</v>
      </c>
      <c r="C29" s="522" t="s">
        <v>138</v>
      </c>
      <c r="D29" s="552">
        <v>1</v>
      </c>
      <c r="E29" s="370" t="s">
        <v>44</v>
      </c>
      <c r="F29" s="438" t="s">
        <v>137</v>
      </c>
      <c r="G29" s="522" t="s">
        <v>138</v>
      </c>
      <c r="H29" s="486">
        <v>1</v>
      </c>
      <c r="I29" s="343">
        <v>88.63636363636363</v>
      </c>
      <c r="J29" s="277">
        <v>2.2</v>
      </c>
      <c r="K29" s="277">
        <v>195</v>
      </c>
      <c r="L29" s="277"/>
      <c r="M29" s="277">
        <v>13</v>
      </c>
      <c r="N29" s="300">
        <v>208</v>
      </c>
      <c r="O29" s="424">
        <f t="shared" si="0"/>
        <v>88.63636363636363</v>
      </c>
      <c r="P29" s="277">
        <f t="shared" si="1"/>
        <v>195</v>
      </c>
      <c r="Q29" s="277">
        <f t="shared" si="2"/>
        <v>0</v>
      </c>
      <c r="R29" s="277">
        <f t="shared" si="3"/>
        <v>13</v>
      </c>
      <c r="S29" s="369">
        <f t="shared" si="4"/>
        <v>208</v>
      </c>
      <c r="T29" s="408">
        <v>0</v>
      </c>
      <c r="U29" s="275">
        <f t="shared" si="10"/>
        <v>0</v>
      </c>
      <c r="V29" s="275">
        <f t="shared" si="11"/>
        <v>0</v>
      </c>
      <c r="W29" s="275">
        <f t="shared" si="12"/>
        <v>0</v>
      </c>
      <c r="X29" s="280">
        <f t="shared" si="13"/>
        <v>0</v>
      </c>
      <c r="Y29" s="275">
        <v>0</v>
      </c>
      <c r="Z29" s="275">
        <v>0</v>
      </c>
      <c r="AA29" s="275">
        <f t="shared" si="9"/>
        <v>208</v>
      </c>
      <c r="AB29" s="278"/>
      <c r="AC29" s="581"/>
      <c r="AD29" s="581"/>
      <c r="AE29" s="581"/>
      <c r="AF29" s="582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</row>
    <row r="30" spans="1:45" ht="27.75" customHeight="1">
      <c r="A30" s="281" t="s">
        <v>45</v>
      </c>
      <c r="B30" s="442" t="s">
        <v>139</v>
      </c>
      <c r="C30" s="521" t="s">
        <v>8</v>
      </c>
      <c r="D30" s="552">
        <v>12</v>
      </c>
      <c r="E30" s="370" t="s">
        <v>45</v>
      </c>
      <c r="F30" s="442" t="s">
        <v>139</v>
      </c>
      <c r="G30" s="521" t="s">
        <v>8</v>
      </c>
      <c r="H30" s="486">
        <v>12</v>
      </c>
      <c r="I30" s="343">
        <v>0.45454545454545453</v>
      </c>
      <c r="J30" s="277">
        <v>2.2</v>
      </c>
      <c r="K30" s="277">
        <v>1</v>
      </c>
      <c r="L30" s="277"/>
      <c r="M30" s="277">
        <v>0.5</v>
      </c>
      <c r="N30" s="300">
        <v>1.5</v>
      </c>
      <c r="O30" s="424">
        <f t="shared" si="0"/>
        <v>5.454545454545454</v>
      </c>
      <c r="P30" s="277">
        <f t="shared" si="1"/>
        <v>12</v>
      </c>
      <c r="Q30" s="277">
        <f t="shared" si="2"/>
        <v>0</v>
      </c>
      <c r="R30" s="277">
        <f t="shared" si="3"/>
        <v>6</v>
      </c>
      <c r="S30" s="369">
        <f t="shared" si="4"/>
        <v>18</v>
      </c>
      <c r="T30" s="408"/>
      <c r="U30" s="275">
        <f t="shared" si="10"/>
        <v>0</v>
      </c>
      <c r="V30" s="275">
        <f t="shared" si="11"/>
        <v>0</v>
      </c>
      <c r="W30" s="275">
        <f t="shared" si="12"/>
        <v>0</v>
      </c>
      <c r="X30" s="280">
        <f t="shared" si="13"/>
        <v>0</v>
      </c>
      <c r="Y30" s="275">
        <v>12</v>
      </c>
      <c r="Z30" s="275">
        <v>18</v>
      </c>
      <c r="AA30" s="275">
        <f t="shared" si="9"/>
        <v>0</v>
      </c>
      <c r="AB30" s="278"/>
      <c r="AC30" s="581"/>
      <c r="AD30" s="581"/>
      <c r="AE30" s="581"/>
      <c r="AF30" s="582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</row>
    <row r="31" spans="1:45" ht="15" customHeight="1">
      <c r="A31" s="281" t="s">
        <v>86</v>
      </c>
      <c r="B31" s="441" t="s">
        <v>107</v>
      </c>
      <c r="C31" s="521" t="s">
        <v>10</v>
      </c>
      <c r="D31" s="552">
        <v>1</v>
      </c>
      <c r="E31" s="370" t="s">
        <v>86</v>
      </c>
      <c r="F31" s="441" t="s">
        <v>107</v>
      </c>
      <c r="G31" s="521" t="s">
        <v>10</v>
      </c>
      <c r="H31" s="488">
        <v>1</v>
      </c>
      <c r="I31" s="294">
        <v>0.45454545454545453</v>
      </c>
      <c r="J31" s="275">
        <v>2.2</v>
      </c>
      <c r="K31" s="275">
        <v>1</v>
      </c>
      <c r="L31" s="275"/>
      <c r="M31" s="275">
        <v>0.2</v>
      </c>
      <c r="N31" s="300">
        <v>1.2</v>
      </c>
      <c r="O31" s="424">
        <f t="shared" si="0"/>
        <v>0.45454545454545453</v>
      </c>
      <c r="P31" s="277">
        <f t="shared" si="1"/>
        <v>1</v>
      </c>
      <c r="Q31" s="277">
        <f t="shared" si="2"/>
        <v>0</v>
      </c>
      <c r="R31" s="277">
        <f t="shared" si="3"/>
        <v>0.2</v>
      </c>
      <c r="S31" s="369">
        <f t="shared" si="4"/>
        <v>1.2</v>
      </c>
      <c r="T31" s="408"/>
      <c r="U31" s="275">
        <f t="shared" si="10"/>
        <v>0</v>
      </c>
      <c r="V31" s="275">
        <f t="shared" si="11"/>
        <v>0</v>
      </c>
      <c r="W31" s="275">
        <f t="shared" si="12"/>
        <v>0</v>
      </c>
      <c r="X31" s="280">
        <f t="shared" si="13"/>
        <v>0</v>
      </c>
      <c r="Y31" s="275">
        <v>1</v>
      </c>
      <c r="Z31" s="275">
        <v>1.2</v>
      </c>
      <c r="AA31" s="275">
        <f t="shared" si="9"/>
        <v>0</v>
      </c>
      <c r="AB31" s="278"/>
      <c r="AC31" s="581"/>
      <c r="AD31" s="581"/>
      <c r="AE31" s="581"/>
      <c r="AF31" s="582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</row>
    <row r="32" spans="1:45" ht="15" customHeight="1">
      <c r="A32" s="281" t="s">
        <v>181</v>
      </c>
      <c r="B32" s="441" t="s">
        <v>92</v>
      </c>
      <c r="C32" s="521" t="s">
        <v>4</v>
      </c>
      <c r="D32" s="552">
        <v>72.8</v>
      </c>
      <c r="E32" s="370" t="s">
        <v>181</v>
      </c>
      <c r="F32" s="441" t="s">
        <v>92</v>
      </c>
      <c r="G32" s="521" t="s">
        <v>4</v>
      </c>
      <c r="H32" s="488">
        <v>72.8</v>
      </c>
      <c r="I32" s="294">
        <v>0.022727272727272728</v>
      </c>
      <c r="J32" s="275">
        <v>2.2</v>
      </c>
      <c r="K32" s="275">
        <v>0.05</v>
      </c>
      <c r="L32" s="275"/>
      <c r="M32" s="275">
        <v>0.05</v>
      </c>
      <c r="N32" s="300">
        <v>0.1</v>
      </c>
      <c r="O32" s="424">
        <f t="shared" si="0"/>
        <v>1.6545454545454545</v>
      </c>
      <c r="P32" s="277">
        <f t="shared" si="1"/>
        <v>3.64</v>
      </c>
      <c r="Q32" s="277">
        <f t="shared" si="2"/>
        <v>0</v>
      </c>
      <c r="R32" s="277">
        <f t="shared" si="3"/>
        <v>3.64</v>
      </c>
      <c r="S32" s="369">
        <f t="shared" si="4"/>
        <v>7.28</v>
      </c>
      <c r="T32" s="408">
        <v>0</v>
      </c>
      <c r="U32" s="275">
        <f t="shared" si="10"/>
        <v>0</v>
      </c>
      <c r="V32" s="275">
        <f t="shared" si="11"/>
        <v>0</v>
      </c>
      <c r="W32" s="275">
        <f t="shared" si="12"/>
        <v>0</v>
      </c>
      <c r="X32" s="280">
        <f t="shared" si="13"/>
        <v>0</v>
      </c>
      <c r="Y32" s="275">
        <v>0</v>
      </c>
      <c r="Z32" s="275">
        <v>0</v>
      </c>
      <c r="AA32" s="275">
        <f t="shared" si="9"/>
        <v>7.28</v>
      </c>
      <c r="AB32" s="278"/>
      <c r="AC32" s="581"/>
      <c r="AD32" s="581"/>
      <c r="AE32" s="581"/>
      <c r="AF32" s="582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</row>
    <row r="33" spans="1:45" ht="15" customHeight="1">
      <c r="A33" s="281" t="s">
        <v>182</v>
      </c>
      <c r="B33" s="441" t="s">
        <v>108</v>
      </c>
      <c r="C33" s="521" t="s">
        <v>10</v>
      </c>
      <c r="D33" s="552">
        <v>1</v>
      </c>
      <c r="E33" s="370" t="s">
        <v>182</v>
      </c>
      <c r="F33" s="441" t="s">
        <v>108</v>
      </c>
      <c r="G33" s="521" t="s">
        <v>10</v>
      </c>
      <c r="H33" s="488">
        <v>1</v>
      </c>
      <c r="I33" s="294">
        <v>0.45454545454545453</v>
      </c>
      <c r="J33" s="275">
        <v>2.2</v>
      </c>
      <c r="K33" s="275">
        <v>1</v>
      </c>
      <c r="L33" s="275"/>
      <c r="M33" s="275">
        <v>0.5</v>
      </c>
      <c r="N33" s="300">
        <v>1.5</v>
      </c>
      <c r="O33" s="424">
        <f t="shared" si="0"/>
        <v>0.45454545454545453</v>
      </c>
      <c r="P33" s="277">
        <f t="shared" si="1"/>
        <v>1</v>
      </c>
      <c r="Q33" s="277">
        <f t="shared" si="2"/>
        <v>0</v>
      </c>
      <c r="R33" s="277">
        <f t="shared" si="3"/>
        <v>0.5</v>
      </c>
      <c r="S33" s="369">
        <f t="shared" si="4"/>
        <v>1.5</v>
      </c>
      <c r="T33" s="408"/>
      <c r="U33" s="275">
        <f t="shared" si="10"/>
        <v>0</v>
      </c>
      <c r="V33" s="275">
        <f t="shared" si="11"/>
        <v>0</v>
      </c>
      <c r="W33" s="275">
        <f t="shared" si="12"/>
        <v>0</v>
      </c>
      <c r="X33" s="280">
        <f t="shared" si="13"/>
        <v>0</v>
      </c>
      <c r="Y33" s="275">
        <v>1</v>
      </c>
      <c r="Z33" s="275">
        <v>1.5</v>
      </c>
      <c r="AA33" s="275">
        <f t="shared" si="9"/>
        <v>0</v>
      </c>
      <c r="AB33" s="278"/>
      <c r="AC33" s="581"/>
      <c r="AD33" s="581"/>
      <c r="AE33" s="581"/>
      <c r="AF33" s="582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</row>
    <row r="34" spans="1:45" ht="15" customHeight="1">
      <c r="A34" s="281" t="s">
        <v>183</v>
      </c>
      <c r="B34" s="438" t="s">
        <v>140</v>
      </c>
      <c r="C34" s="518" t="s">
        <v>141</v>
      </c>
      <c r="D34" s="552">
        <v>12</v>
      </c>
      <c r="E34" s="370" t="s">
        <v>183</v>
      </c>
      <c r="F34" s="438" t="s">
        <v>140</v>
      </c>
      <c r="G34" s="518" t="s">
        <v>141</v>
      </c>
      <c r="H34" s="488">
        <v>12</v>
      </c>
      <c r="I34" s="294">
        <v>1.5909090909090908</v>
      </c>
      <c r="J34" s="275">
        <v>2.2</v>
      </c>
      <c r="K34" s="275">
        <v>3.5</v>
      </c>
      <c r="L34" s="275"/>
      <c r="M34" s="275">
        <v>0.5</v>
      </c>
      <c r="N34" s="300">
        <v>4</v>
      </c>
      <c r="O34" s="424">
        <f t="shared" si="0"/>
        <v>19.09090909090909</v>
      </c>
      <c r="P34" s="277">
        <f t="shared" si="1"/>
        <v>42</v>
      </c>
      <c r="Q34" s="277">
        <f t="shared" si="2"/>
        <v>0</v>
      </c>
      <c r="R34" s="277">
        <f t="shared" si="3"/>
        <v>6</v>
      </c>
      <c r="S34" s="369">
        <f t="shared" si="4"/>
        <v>48</v>
      </c>
      <c r="T34" s="408"/>
      <c r="U34" s="275">
        <f t="shared" si="10"/>
        <v>0</v>
      </c>
      <c r="V34" s="275">
        <f t="shared" si="11"/>
        <v>0</v>
      </c>
      <c r="W34" s="275">
        <f t="shared" si="12"/>
        <v>0</v>
      </c>
      <c r="X34" s="280">
        <f t="shared" si="13"/>
        <v>0</v>
      </c>
      <c r="Y34" s="275">
        <v>12</v>
      </c>
      <c r="Z34" s="275">
        <v>48</v>
      </c>
      <c r="AA34" s="275">
        <f t="shared" si="9"/>
        <v>0</v>
      </c>
      <c r="AB34" s="278"/>
      <c r="AC34" s="581"/>
      <c r="AD34" s="581"/>
      <c r="AE34" s="581"/>
      <c r="AF34" s="582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</row>
    <row r="35" spans="1:45" ht="15" customHeight="1" thickBot="1">
      <c r="A35" s="305" t="s">
        <v>184</v>
      </c>
      <c r="B35" s="682" t="s">
        <v>110</v>
      </c>
      <c r="C35" s="526" t="s">
        <v>6</v>
      </c>
      <c r="D35" s="557">
        <v>32</v>
      </c>
      <c r="E35" s="679" t="s">
        <v>592</v>
      </c>
      <c r="F35" s="682" t="s">
        <v>110</v>
      </c>
      <c r="G35" s="526" t="s">
        <v>6</v>
      </c>
      <c r="H35" s="683">
        <v>40</v>
      </c>
      <c r="I35" s="684">
        <v>2.954545454545454</v>
      </c>
      <c r="J35" s="685">
        <v>2.2</v>
      </c>
      <c r="K35" s="685">
        <v>6.5</v>
      </c>
      <c r="L35" s="685"/>
      <c r="M35" s="685">
        <v>6.5</v>
      </c>
      <c r="N35" s="301">
        <v>13</v>
      </c>
      <c r="O35" s="431">
        <f t="shared" si="0"/>
        <v>118.18181818181816</v>
      </c>
      <c r="P35" s="307">
        <f t="shared" si="1"/>
        <v>260</v>
      </c>
      <c r="Q35" s="307">
        <f t="shared" si="2"/>
        <v>0</v>
      </c>
      <c r="R35" s="307">
        <f t="shared" si="3"/>
        <v>260</v>
      </c>
      <c r="S35" s="377">
        <f t="shared" si="4"/>
        <v>520</v>
      </c>
      <c r="T35" s="410"/>
      <c r="U35" s="285">
        <f t="shared" si="10"/>
        <v>0</v>
      </c>
      <c r="V35" s="285">
        <f t="shared" si="11"/>
        <v>0</v>
      </c>
      <c r="W35" s="285">
        <f t="shared" si="12"/>
        <v>0</v>
      </c>
      <c r="X35" s="288">
        <f t="shared" si="13"/>
        <v>0</v>
      </c>
      <c r="Y35" s="285">
        <v>32</v>
      </c>
      <c r="Z35" s="285">
        <v>416</v>
      </c>
      <c r="AA35" s="285">
        <f t="shared" si="9"/>
        <v>104</v>
      </c>
      <c r="AB35" s="278"/>
      <c r="AC35" s="581"/>
      <c r="AD35" s="581"/>
      <c r="AE35" s="581"/>
      <c r="AF35" s="582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</row>
    <row r="36" spans="1:45" ht="15" customHeight="1" thickBot="1">
      <c r="A36" s="687"/>
      <c r="B36" s="473" t="s">
        <v>37</v>
      </c>
      <c r="C36" s="528"/>
      <c r="D36" s="559"/>
      <c r="E36" s="687"/>
      <c r="F36" s="473" t="s">
        <v>37</v>
      </c>
      <c r="G36" s="528"/>
      <c r="H36" s="688"/>
      <c r="I36" s="417"/>
      <c r="J36" s="309"/>
      <c r="K36" s="309"/>
      <c r="L36" s="309"/>
      <c r="M36" s="309"/>
      <c r="N36" s="404"/>
      <c r="O36" s="689">
        <f>SUM(O19:O35)</f>
        <v>401.0272727272726</v>
      </c>
      <c r="P36" s="690">
        <f>SUM(P19:P35)</f>
        <v>882.2599999999999</v>
      </c>
      <c r="Q36" s="690">
        <f>SUM(Q19:Q35)</f>
        <v>38.04</v>
      </c>
      <c r="R36" s="690">
        <f>SUM(R19:R35)</f>
        <v>663.582</v>
      </c>
      <c r="S36" s="691">
        <f>SUM(S19:S35)</f>
        <v>1583.902</v>
      </c>
      <c r="T36" s="411">
        <f aca="true" t="shared" si="14" ref="T36:AB36">SUM(T19:T35)+0.02</f>
        <v>0.02</v>
      </c>
      <c r="U36" s="291">
        <f t="shared" si="14"/>
        <v>0.02</v>
      </c>
      <c r="V36" s="291">
        <f t="shared" si="14"/>
        <v>0.02</v>
      </c>
      <c r="W36" s="291">
        <f t="shared" si="14"/>
        <v>0.02</v>
      </c>
      <c r="X36" s="291">
        <f t="shared" si="14"/>
        <v>0.02</v>
      </c>
      <c r="Y36" s="291">
        <f t="shared" si="14"/>
        <v>1888.1599999999999</v>
      </c>
      <c r="Z36" s="291">
        <f t="shared" si="14"/>
        <v>1188.1599999999999</v>
      </c>
      <c r="AA36" s="291">
        <f t="shared" si="14"/>
        <v>395.7819999999999</v>
      </c>
      <c r="AB36" s="292">
        <f t="shared" si="14"/>
        <v>0.02</v>
      </c>
      <c r="AC36" s="583"/>
      <c r="AD36" s="583"/>
      <c r="AE36" s="330"/>
      <c r="AF36" s="582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</row>
    <row r="37" spans="1:45" ht="84" customHeight="1">
      <c r="A37" s="318" t="s">
        <v>46</v>
      </c>
      <c r="B37" s="460" t="s">
        <v>142</v>
      </c>
      <c r="C37" s="529" t="s">
        <v>39</v>
      </c>
      <c r="D37" s="560">
        <v>1239.55</v>
      </c>
      <c r="E37" s="390" t="s">
        <v>46</v>
      </c>
      <c r="F37" s="686" t="s">
        <v>465</v>
      </c>
      <c r="G37" s="529" t="s">
        <v>39</v>
      </c>
      <c r="H37" s="499">
        <f>1239.55+14.42</f>
        <v>1253.97</v>
      </c>
      <c r="I37" s="362"/>
      <c r="J37" s="314"/>
      <c r="K37" s="314"/>
      <c r="L37" s="314"/>
      <c r="M37" s="314"/>
      <c r="N37" s="303"/>
      <c r="O37" s="428"/>
      <c r="P37" s="314"/>
      <c r="Q37" s="314"/>
      <c r="R37" s="314"/>
      <c r="S37" s="391"/>
      <c r="T37" s="294"/>
      <c r="U37" s="293"/>
      <c r="V37" s="294"/>
      <c r="W37" s="275"/>
      <c r="X37" s="275"/>
      <c r="Y37" s="275"/>
      <c r="Z37" s="275"/>
      <c r="AA37" s="275"/>
      <c r="AB37" s="278"/>
      <c r="AC37" s="581"/>
      <c r="AD37" s="581"/>
      <c r="AE37" s="581"/>
      <c r="AF37" s="582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</row>
    <row r="38" spans="1:45" ht="16.5" customHeight="1">
      <c r="A38" s="281" t="s">
        <v>47</v>
      </c>
      <c r="B38" s="442" t="s">
        <v>15</v>
      </c>
      <c r="C38" s="524" t="s">
        <v>4</v>
      </c>
      <c r="D38" s="552">
        <v>1239.55</v>
      </c>
      <c r="E38" s="370" t="s">
        <v>47</v>
      </c>
      <c r="F38" s="442" t="s">
        <v>15</v>
      </c>
      <c r="G38" s="524" t="s">
        <v>4</v>
      </c>
      <c r="H38" s="490">
        <f>1239.55+14.42</f>
        <v>1253.97</v>
      </c>
      <c r="I38" s="320">
        <v>0.022727272727272728</v>
      </c>
      <c r="J38" s="277">
        <v>2.2</v>
      </c>
      <c r="K38" s="276">
        <v>0.05</v>
      </c>
      <c r="L38" s="276"/>
      <c r="M38" s="276">
        <v>0.02</v>
      </c>
      <c r="N38" s="300">
        <v>0.07</v>
      </c>
      <c r="O38" s="424">
        <f aca="true" t="shared" si="15" ref="O38:O113">H38*I38</f>
        <v>28.499318181818182</v>
      </c>
      <c r="P38" s="277">
        <f aca="true" t="shared" si="16" ref="P38:P113">H38*K38</f>
        <v>62.6985</v>
      </c>
      <c r="Q38" s="277">
        <f aca="true" t="shared" si="17" ref="Q38:Q113">H38*L38</f>
        <v>0</v>
      </c>
      <c r="R38" s="277">
        <f aca="true" t="shared" si="18" ref="R38:R113">H38*M38</f>
        <v>25.0794</v>
      </c>
      <c r="S38" s="369">
        <f aca="true" t="shared" si="19" ref="S38:S113">P38+Q38+R38</f>
        <v>87.7779</v>
      </c>
      <c r="T38" s="294"/>
      <c r="U38" s="275"/>
      <c r="V38" s="275"/>
      <c r="W38" s="275"/>
      <c r="X38" s="275"/>
      <c r="Y38" s="275">
        <v>1239.55</v>
      </c>
      <c r="Z38" s="275">
        <v>86.77</v>
      </c>
      <c r="AA38" s="275">
        <f>S38-Z38-X38</f>
        <v>1.0079000000000065</v>
      </c>
      <c r="AB38" s="278"/>
      <c r="AC38" s="330"/>
      <c r="AD38" s="581"/>
      <c r="AE38" s="581"/>
      <c r="AF38" s="582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</row>
    <row r="39" spans="1:45" ht="42.75" customHeight="1">
      <c r="A39" s="281" t="s">
        <v>48</v>
      </c>
      <c r="B39" s="437" t="s">
        <v>16</v>
      </c>
      <c r="C39" s="521" t="s">
        <v>4</v>
      </c>
      <c r="D39" s="552">
        <v>1239.55</v>
      </c>
      <c r="E39" s="370" t="s">
        <v>48</v>
      </c>
      <c r="F39" s="437" t="s">
        <v>16</v>
      </c>
      <c r="G39" s="521" t="s">
        <v>4</v>
      </c>
      <c r="H39" s="486">
        <v>1239.55</v>
      </c>
      <c r="I39" s="320">
        <v>0.09090909090909091</v>
      </c>
      <c r="J39" s="277">
        <v>2.2</v>
      </c>
      <c r="K39" s="276">
        <v>0.2</v>
      </c>
      <c r="L39" s="276">
        <v>0.2</v>
      </c>
      <c r="M39" s="276">
        <v>0.1</v>
      </c>
      <c r="N39" s="300">
        <v>0.5</v>
      </c>
      <c r="O39" s="424">
        <f t="shared" si="15"/>
        <v>112.68636363636364</v>
      </c>
      <c r="P39" s="277">
        <f t="shared" si="16"/>
        <v>247.91</v>
      </c>
      <c r="Q39" s="277">
        <f t="shared" si="17"/>
        <v>247.91</v>
      </c>
      <c r="R39" s="277">
        <f t="shared" si="18"/>
        <v>123.955</v>
      </c>
      <c r="S39" s="369">
        <f t="shared" si="19"/>
        <v>619.775</v>
      </c>
      <c r="T39" s="294"/>
      <c r="U39" s="275"/>
      <c r="V39" s="275"/>
      <c r="W39" s="275"/>
      <c r="X39" s="275"/>
      <c r="Y39" s="275">
        <v>1239.55</v>
      </c>
      <c r="Z39" s="275">
        <v>619.78</v>
      </c>
      <c r="AA39" s="275">
        <f aca="true" t="shared" si="20" ref="AA39:AA114">S39-Z39-X39</f>
        <v>-0.0049999999999954525</v>
      </c>
      <c r="AB39" s="278"/>
      <c r="AC39" s="330"/>
      <c r="AD39" s="581"/>
      <c r="AE39" s="581"/>
      <c r="AF39" s="582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</row>
    <row r="40" spans="1:45" ht="15" customHeight="1">
      <c r="A40" s="295" t="s">
        <v>50</v>
      </c>
      <c r="B40" s="444" t="s">
        <v>355</v>
      </c>
      <c r="C40" s="525" t="s">
        <v>4</v>
      </c>
      <c r="D40" s="556">
        <v>65</v>
      </c>
      <c r="E40" s="373" t="s">
        <v>489</v>
      </c>
      <c r="F40" s="444" t="s">
        <v>355</v>
      </c>
      <c r="G40" s="525" t="s">
        <v>4</v>
      </c>
      <c r="H40" s="491">
        <v>65</v>
      </c>
      <c r="I40" s="343"/>
      <c r="J40" s="277"/>
      <c r="K40" s="277">
        <v>3</v>
      </c>
      <c r="L40" s="277"/>
      <c r="M40" s="277">
        <v>0.1</v>
      </c>
      <c r="N40" s="300">
        <v>3.1</v>
      </c>
      <c r="O40" s="424">
        <f t="shared" si="15"/>
        <v>0</v>
      </c>
      <c r="P40" s="277">
        <f t="shared" si="16"/>
        <v>195</v>
      </c>
      <c r="Q40" s="277">
        <f t="shared" si="17"/>
        <v>0</v>
      </c>
      <c r="R40" s="277">
        <f t="shared" si="18"/>
        <v>6.5</v>
      </c>
      <c r="S40" s="369">
        <f t="shared" si="19"/>
        <v>201.5</v>
      </c>
      <c r="T40" s="294"/>
      <c r="U40" s="275"/>
      <c r="V40" s="275"/>
      <c r="W40" s="275"/>
      <c r="X40" s="275"/>
      <c r="Y40" s="275">
        <v>65</v>
      </c>
      <c r="Z40" s="275">
        <v>201.5</v>
      </c>
      <c r="AA40" s="275">
        <f t="shared" si="20"/>
        <v>0</v>
      </c>
      <c r="AB40" s="278"/>
      <c r="AC40" s="330"/>
      <c r="AD40" s="581"/>
      <c r="AE40" s="581"/>
      <c r="AF40" s="582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</row>
    <row r="41" spans="1:45" ht="15" customHeight="1">
      <c r="A41" s="295"/>
      <c r="B41" s="445" t="s">
        <v>176</v>
      </c>
      <c r="C41" s="525" t="s">
        <v>4</v>
      </c>
      <c r="D41" s="556">
        <v>68.25</v>
      </c>
      <c r="E41" s="374"/>
      <c r="F41" s="445" t="s">
        <v>176</v>
      </c>
      <c r="G41" s="525" t="s">
        <v>4</v>
      </c>
      <c r="H41" s="491">
        <v>68.25</v>
      </c>
      <c r="I41" s="343"/>
      <c r="J41" s="277"/>
      <c r="K41" s="277"/>
      <c r="L41" s="277">
        <v>1</v>
      </c>
      <c r="M41" s="277"/>
      <c r="N41" s="300">
        <v>1</v>
      </c>
      <c r="O41" s="424">
        <f t="shared" si="15"/>
        <v>0</v>
      </c>
      <c r="P41" s="277">
        <f t="shared" si="16"/>
        <v>0</v>
      </c>
      <c r="Q41" s="277">
        <f t="shared" si="17"/>
        <v>68.25</v>
      </c>
      <c r="R41" s="277">
        <f t="shared" si="18"/>
        <v>0</v>
      </c>
      <c r="S41" s="369">
        <f t="shared" si="19"/>
        <v>68.25</v>
      </c>
      <c r="T41" s="412"/>
      <c r="U41" s="275"/>
      <c r="V41" s="275"/>
      <c r="W41" s="275"/>
      <c r="X41" s="275"/>
      <c r="Y41" s="275">
        <v>68.25</v>
      </c>
      <c r="Z41" s="275">
        <v>68.25</v>
      </c>
      <c r="AA41" s="275">
        <f t="shared" si="20"/>
        <v>0</v>
      </c>
      <c r="AB41" s="278"/>
      <c r="AC41" s="330"/>
      <c r="AD41" s="581"/>
      <c r="AE41" s="581"/>
      <c r="AF41" s="582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</row>
    <row r="42" spans="1:45" ht="15" customHeight="1">
      <c r="A42" s="295"/>
      <c r="B42" s="445" t="s">
        <v>24</v>
      </c>
      <c r="C42" s="525" t="s">
        <v>18</v>
      </c>
      <c r="D42" s="556">
        <v>13</v>
      </c>
      <c r="E42" s="374"/>
      <c r="F42" s="445" t="s">
        <v>24</v>
      </c>
      <c r="G42" s="525" t="s">
        <v>18</v>
      </c>
      <c r="H42" s="491">
        <v>13</v>
      </c>
      <c r="I42" s="343"/>
      <c r="J42" s="277"/>
      <c r="K42" s="277"/>
      <c r="L42" s="277">
        <v>0.69</v>
      </c>
      <c r="M42" s="277"/>
      <c r="N42" s="300">
        <v>0.69</v>
      </c>
      <c r="O42" s="424">
        <f t="shared" si="15"/>
        <v>0</v>
      </c>
      <c r="P42" s="277">
        <f t="shared" si="16"/>
        <v>0</v>
      </c>
      <c r="Q42" s="277">
        <f t="shared" si="17"/>
        <v>8.969999999999999</v>
      </c>
      <c r="R42" s="277">
        <f t="shared" si="18"/>
        <v>0</v>
      </c>
      <c r="S42" s="369">
        <f t="shared" si="19"/>
        <v>8.969999999999999</v>
      </c>
      <c r="T42" s="412"/>
      <c r="U42" s="275"/>
      <c r="V42" s="275"/>
      <c r="W42" s="275"/>
      <c r="X42" s="275"/>
      <c r="Y42" s="275">
        <v>13</v>
      </c>
      <c r="Z42" s="275">
        <v>8.97</v>
      </c>
      <c r="AA42" s="275">
        <f t="shared" si="20"/>
        <v>-1.7763568394002505E-15</v>
      </c>
      <c r="AB42" s="278"/>
      <c r="AC42" s="330"/>
      <c r="AD42" s="581"/>
      <c r="AE42" s="581"/>
      <c r="AF42" s="582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</row>
    <row r="43" spans="1:45" ht="15" customHeight="1">
      <c r="A43" s="295"/>
      <c r="B43" s="445" t="s">
        <v>177</v>
      </c>
      <c r="C43" s="525" t="s">
        <v>8</v>
      </c>
      <c r="D43" s="556">
        <v>390</v>
      </c>
      <c r="E43" s="374"/>
      <c r="F43" s="445" t="s">
        <v>177</v>
      </c>
      <c r="G43" s="525" t="s">
        <v>8</v>
      </c>
      <c r="H43" s="491">
        <v>390</v>
      </c>
      <c r="I43" s="343"/>
      <c r="J43" s="277"/>
      <c r="K43" s="277"/>
      <c r="L43" s="277">
        <v>0.1</v>
      </c>
      <c r="M43" s="277"/>
      <c r="N43" s="300">
        <v>0.1</v>
      </c>
      <c r="O43" s="424">
        <f t="shared" si="15"/>
        <v>0</v>
      </c>
      <c r="P43" s="277">
        <f t="shared" si="16"/>
        <v>0</v>
      </c>
      <c r="Q43" s="277">
        <f t="shared" si="17"/>
        <v>39</v>
      </c>
      <c r="R43" s="277">
        <f t="shared" si="18"/>
        <v>0</v>
      </c>
      <c r="S43" s="369">
        <f t="shared" si="19"/>
        <v>39</v>
      </c>
      <c r="T43" s="412"/>
      <c r="U43" s="275"/>
      <c r="V43" s="275"/>
      <c r="W43" s="275"/>
      <c r="X43" s="275"/>
      <c r="Y43" s="275">
        <v>390</v>
      </c>
      <c r="Z43" s="275">
        <v>39</v>
      </c>
      <c r="AA43" s="275">
        <f t="shared" si="20"/>
        <v>0</v>
      </c>
      <c r="AB43" s="278"/>
      <c r="AC43" s="330"/>
      <c r="AD43" s="581"/>
      <c r="AE43" s="581"/>
      <c r="AF43" s="582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</row>
    <row r="44" spans="1:45" ht="18" customHeight="1">
      <c r="A44" s="295"/>
      <c r="B44" s="445" t="s">
        <v>178</v>
      </c>
      <c r="C44" s="525" t="s">
        <v>6</v>
      </c>
      <c r="D44" s="556">
        <v>1.95</v>
      </c>
      <c r="E44" s="374"/>
      <c r="F44" s="445" t="s">
        <v>178</v>
      </c>
      <c r="G44" s="525" t="s">
        <v>6</v>
      </c>
      <c r="H44" s="491">
        <v>1.95</v>
      </c>
      <c r="I44" s="343"/>
      <c r="J44" s="277"/>
      <c r="K44" s="277"/>
      <c r="L44" s="277">
        <v>47</v>
      </c>
      <c r="M44" s="277"/>
      <c r="N44" s="300">
        <v>47</v>
      </c>
      <c r="O44" s="424">
        <f t="shared" si="15"/>
        <v>0</v>
      </c>
      <c r="P44" s="277">
        <f t="shared" si="16"/>
        <v>0</v>
      </c>
      <c r="Q44" s="277">
        <f t="shared" si="17"/>
        <v>91.64999999999999</v>
      </c>
      <c r="R44" s="277">
        <f t="shared" si="18"/>
        <v>0</v>
      </c>
      <c r="S44" s="369">
        <f t="shared" si="19"/>
        <v>91.64999999999999</v>
      </c>
      <c r="T44" s="412"/>
      <c r="U44" s="275"/>
      <c r="V44" s="275"/>
      <c r="W44" s="275"/>
      <c r="X44" s="275"/>
      <c r="Y44" s="275">
        <v>1.95</v>
      </c>
      <c r="Z44" s="275">
        <v>91.65</v>
      </c>
      <c r="AA44" s="275">
        <f t="shared" si="20"/>
        <v>-1.4210854715202004E-14</v>
      </c>
      <c r="AB44" s="278"/>
      <c r="AC44" s="330"/>
      <c r="AD44" s="581"/>
      <c r="AE44" s="581"/>
      <c r="AF44" s="582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</row>
    <row r="45" spans="1:45" ht="15" customHeight="1">
      <c r="A45" s="281" t="s">
        <v>52</v>
      </c>
      <c r="B45" s="446" t="s">
        <v>179</v>
      </c>
      <c r="C45" s="518" t="s">
        <v>180</v>
      </c>
      <c r="D45" s="552">
        <v>146</v>
      </c>
      <c r="E45" s="370" t="s">
        <v>52</v>
      </c>
      <c r="F45" s="446" t="s">
        <v>179</v>
      </c>
      <c r="G45" s="518" t="s">
        <v>180</v>
      </c>
      <c r="H45" s="486">
        <v>146</v>
      </c>
      <c r="I45" s="320">
        <v>0.9090909090909091</v>
      </c>
      <c r="J45" s="277">
        <v>2.2</v>
      </c>
      <c r="K45" s="277">
        <v>2</v>
      </c>
      <c r="L45" s="277">
        <v>1.5</v>
      </c>
      <c r="M45" s="277"/>
      <c r="N45" s="300">
        <v>3.5</v>
      </c>
      <c r="O45" s="424">
        <f t="shared" si="15"/>
        <v>132.72727272727272</v>
      </c>
      <c r="P45" s="277">
        <f t="shared" si="16"/>
        <v>292</v>
      </c>
      <c r="Q45" s="277">
        <f t="shared" si="17"/>
        <v>219</v>
      </c>
      <c r="R45" s="277">
        <f t="shared" si="18"/>
        <v>0</v>
      </c>
      <c r="S45" s="369">
        <f t="shared" si="19"/>
        <v>511</v>
      </c>
      <c r="T45" s="294"/>
      <c r="U45" s="275"/>
      <c r="V45" s="275"/>
      <c r="W45" s="275"/>
      <c r="X45" s="275"/>
      <c r="Y45" s="275">
        <v>146</v>
      </c>
      <c r="Z45" s="275">
        <v>511</v>
      </c>
      <c r="AA45" s="275">
        <f t="shared" si="20"/>
        <v>0</v>
      </c>
      <c r="AB45" s="278"/>
      <c r="AC45" s="330"/>
      <c r="AD45" s="581"/>
      <c r="AE45" s="581"/>
      <c r="AF45" s="582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</row>
    <row r="46" spans="1:45" ht="27" customHeight="1">
      <c r="A46" s="281" t="s">
        <v>62</v>
      </c>
      <c r="B46" s="442" t="s">
        <v>192</v>
      </c>
      <c r="C46" s="519" t="s">
        <v>4</v>
      </c>
      <c r="D46" s="553">
        <v>1239.55</v>
      </c>
      <c r="E46" s="370" t="s">
        <v>590</v>
      </c>
      <c r="F46" s="443" t="s">
        <v>421</v>
      </c>
      <c r="G46" s="519" t="s">
        <v>4</v>
      </c>
      <c r="H46" s="489">
        <f>1239.55+14.42</f>
        <v>1253.97</v>
      </c>
      <c r="I46" s="320">
        <v>1.5909090909090908</v>
      </c>
      <c r="J46" s="277">
        <v>2.2</v>
      </c>
      <c r="K46" s="277">
        <v>3.5</v>
      </c>
      <c r="L46" s="277"/>
      <c r="M46" s="277">
        <v>0.105</v>
      </c>
      <c r="N46" s="300">
        <v>3.605</v>
      </c>
      <c r="O46" s="424">
        <f t="shared" si="15"/>
        <v>1994.9522727272727</v>
      </c>
      <c r="P46" s="277">
        <f t="shared" si="16"/>
        <v>4388.895</v>
      </c>
      <c r="Q46" s="277">
        <f t="shared" si="17"/>
        <v>0</v>
      </c>
      <c r="R46" s="277">
        <f t="shared" si="18"/>
        <v>131.66685</v>
      </c>
      <c r="S46" s="369">
        <f t="shared" si="19"/>
        <v>4520.56185</v>
      </c>
      <c r="T46" s="413">
        <v>0</v>
      </c>
      <c r="U46" s="275">
        <f>ROUND(T46*K46,2)</f>
        <v>0</v>
      </c>
      <c r="V46" s="275">
        <f>ROUND(T46*L46,2)</f>
        <v>0</v>
      </c>
      <c r="W46" s="275">
        <v>0</v>
      </c>
      <c r="X46" s="280">
        <f>U46+V46+W46</f>
        <v>0</v>
      </c>
      <c r="Y46" s="275">
        <v>1239.548</v>
      </c>
      <c r="Z46" s="275">
        <v>4468.58</v>
      </c>
      <c r="AA46" s="275">
        <f t="shared" si="20"/>
        <v>51.98185000000012</v>
      </c>
      <c r="AB46" s="278"/>
      <c r="AC46" s="330"/>
      <c r="AD46" s="581"/>
      <c r="AE46" s="581"/>
      <c r="AF46" s="582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</row>
    <row r="47" spans="1:45" ht="15" customHeight="1">
      <c r="A47" s="281"/>
      <c r="B47" s="447" t="s">
        <v>24</v>
      </c>
      <c r="C47" s="518" t="s">
        <v>25</v>
      </c>
      <c r="D47" s="552">
        <v>371.865</v>
      </c>
      <c r="E47" s="370"/>
      <c r="F47" s="447" t="s">
        <v>24</v>
      </c>
      <c r="G47" s="518" t="s">
        <v>25</v>
      </c>
      <c r="H47" s="486">
        <v>371.865</v>
      </c>
      <c r="I47" s="343"/>
      <c r="J47" s="277"/>
      <c r="K47" s="277"/>
      <c r="L47" s="277">
        <v>0.69</v>
      </c>
      <c r="M47" s="277"/>
      <c r="N47" s="300">
        <v>0.69</v>
      </c>
      <c r="O47" s="424">
        <f t="shared" si="15"/>
        <v>0</v>
      </c>
      <c r="P47" s="277">
        <f t="shared" si="16"/>
        <v>0</v>
      </c>
      <c r="Q47" s="277">
        <f t="shared" si="17"/>
        <v>256.58684999999997</v>
      </c>
      <c r="R47" s="277">
        <f t="shared" si="18"/>
        <v>0</v>
      </c>
      <c r="S47" s="369">
        <f t="shared" si="19"/>
        <v>256.58684999999997</v>
      </c>
      <c r="T47" s="414">
        <v>0</v>
      </c>
      <c r="U47" s="275">
        <f>ROUND(T47*K47,2)</f>
        <v>0</v>
      </c>
      <c r="V47" s="275">
        <f>ROUND(T47*L47,2)</f>
        <v>0</v>
      </c>
      <c r="W47" s="275">
        <f>T47*M47</f>
        <v>0</v>
      </c>
      <c r="X47" s="280">
        <f>U47+V47+W47</f>
        <v>0</v>
      </c>
      <c r="Y47" s="275">
        <v>371.87</v>
      </c>
      <c r="Z47" s="275">
        <v>256.59</v>
      </c>
      <c r="AA47" s="275">
        <f t="shared" si="20"/>
        <v>-0.003150000000005093</v>
      </c>
      <c r="AB47" s="278"/>
      <c r="AC47" s="330"/>
      <c r="AD47" s="581"/>
      <c r="AE47" s="581"/>
      <c r="AF47" s="582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</row>
    <row r="48" spans="1:45" ht="28.5" customHeight="1">
      <c r="A48" s="281"/>
      <c r="B48" s="449" t="s">
        <v>190</v>
      </c>
      <c r="C48" s="518" t="s">
        <v>4</v>
      </c>
      <c r="D48" s="552">
        <v>1165.445</v>
      </c>
      <c r="E48" s="370"/>
      <c r="F48" s="448" t="s">
        <v>422</v>
      </c>
      <c r="G48" s="521" t="s">
        <v>4</v>
      </c>
      <c r="H48" s="486">
        <v>1165.445</v>
      </c>
      <c r="I48" s="343"/>
      <c r="J48" s="277"/>
      <c r="K48" s="277"/>
      <c r="L48" s="277">
        <v>4.4</v>
      </c>
      <c r="M48" s="277"/>
      <c r="N48" s="300">
        <v>4.4</v>
      </c>
      <c r="O48" s="424">
        <f t="shared" si="15"/>
        <v>0</v>
      </c>
      <c r="P48" s="277">
        <f t="shared" si="16"/>
        <v>0</v>
      </c>
      <c r="Q48" s="277">
        <f>H48*L48+0.02</f>
        <v>5127.978000000001</v>
      </c>
      <c r="R48" s="277">
        <f t="shared" si="18"/>
        <v>0</v>
      </c>
      <c r="S48" s="369">
        <f t="shared" si="19"/>
        <v>5127.978000000001</v>
      </c>
      <c r="T48" s="414">
        <v>0</v>
      </c>
      <c r="U48" s="275">
        <f>ROUND(T48*K48,2)</f>
        <v>0</v>
      </c>
      <c r="V48" s="275">
        <v>0</v>
      </c>
      <c r="W48" s="275">
        <f>T48*M48</f>
        <v>0</v>
      </c>
      <c r="X48" s="280">
        <f>U48+V48+W48</f>
        <v>0</v>
      </c>
      <c r="Y48" s="275">
        <v>1165.45</v>
      </c>
      <c r="Z48" s="275">
        <v>7575.39</v>
      </c>
      <c r="AA48" s="275">
        <f t="shared" si="20"/>
        <v>-2447.4119999999994</v>
      </c>
      <c r="AB48" s="278"/>
      <c r="AC48" s="330"/>
      <c r="AD48" s="581"/>
      <c r="AE48" s="581"/>
      <c r="AF48" s="582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</row>
    <row r="49" spans="1:45" ht="30" customHeight="1">
      <c r="A49" s="281"/>
      <c r="B49" s="449" t="s">
        <v>191</v>
      </c>
      <c r="C49" s="518" t="s">
        <v>4</v>
      </c>
      <c r="D49" s="552">
        <v>114.45</v>
      </c>
      <c r="E49" s="370"/>
      <c r="F49" s="448" t="s">
        <v>423</v>
      </c>
      <c r="G49" s="521" t="s">
        <v>4</v>
      </c>
      <c r="H49" s="486">
        <v>114.45</v>
      </c>
      <c r="I49" s="343"/>
      <c r="J49" s="277"/>
      <c r="K49" s="277"/>
      <c r="L49" s="277">
        <v>2.3</v>
      </c>
      <c r="M49" s="277"/>
      <c r="N49" s="300">
        <v>2.3</v>
      </c>
      <c r="O49" s="424">
        <f t="shared" si="15"/>
        <v>0</v>
      </c>
      <c r="P49" s="277">
        <f t="shared" si="16"/>
        <v>0</v>
      </c>
      <c r="Q49" s="277">
        <f t="shared" si="17"/>
        <v>263.235</v>
      </c>
      <c r="R49" s="277">
        <f t="shared" si="18"/>
        <v>0</v>
      </c>
      <c r="S49" s="369">
        <f t="shared" si="19"/>
        <v>263.235</v>
      </c>
      <c r="T49" s="415"/>
      <c r="U49" s="275">
        <f>ROUND(T49*K49,2)</f>
        <v>0</v>
      </c>
      <c r="V49" s="275">
        <f>ROUND(T49*L49,2)</f>
        <v>0</v>
      </c>
      <c r="W49" s="275">
        <f>T49*M49</f>
        <v>0</v>
      </c>
      <c r="X49" s="280">
        <f>U49+V49+W49</f>
        <v>0</v>
      </c>
      <c r="Y49" s="275">
        <v>114.45</v>
      </c>
      <c r="Z49" s="275">
        <v>310.16</v>
      </c>
      <c r="AA49" s="275">
        <f t="shared" si="20"/>
        <v>-46.92500000000001</v>
      </c>
      <c r="AB49" s="278"/>
      <c r="AC49" s="330"/>
      <c r="AD49" s="581"/>
      <c r="AE49" s="581"/>
      <c r="AF49" s="582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</row>
    <row r="50" spans="1:45" ht="15" customHeight="1">
      <c r="A50" s="281"/>
      <c r="B50" s="447" t="s">
        <v>17</v>
      </c>
      <c r="C50" s="518" t="s">
        <v>18</v>
      </c>
      <c r="D50" s="552">
        <v>4958.2</v>
      </c>
      <c r="E50" s="370"/>
      <c r="F50" s="447" t="s">
        <v>17</v>
      </c>
      <c r="G50" s="518" t="s">
        <v>18</v>
      </c>
      <c r="H50" s="486">
        <v>4958.2</v>
      </c>
      <c r="I50" s="343"/>
      <c r="J50" s="277"/>
      <c r="K50" s="277"/>
      <c r="L50" s="277">
        <v>0.11</v>
      </c>
      <c r="M50" s="277"/>
      <c r="N50" s="300">
        <v>0.11</v>
      </c>
      <c r="O50" s="424">
        <f t="shared" si="15"/>
        <v>0</v>
      </c>
      <c r="P50" s="277">
        <f t="shared" si="16"/>
        <v>0</v>
      </c>
      <c r="Q50" s="277">
        <f t="shared" si="17"/>
        <v>545.4019999999999</v>
      </c>
      <c r="R50" s="277">
        <f t="shared" si="18"/>
        <v>0</v>
      </c>
      <c r="S50" s="369">
        <f t="shared" si="19"/>
        <v>545.4019999999999</v>
      </c>
      <c r="T50" s="415"/>
      <c r="U50" s="275"/>
      <c r="V50" s="275"/>
      <c r="W50" s="275"/>
      <c r="X50" s="275"/>
      <c r="Y50" s="275">
        <v>4958.2</v>
      </c>
      <c r="Z50" s="275">
        <v>545.4</v>
      </c>
      <c r="AA50" s="275">
        <f t="shared" si="20"/>
        <v>0.0019999999999527063</v>
      </c>
      <c r="AB50" s="278"/>
      <c r="AC50" s="330"/>
      <c r="AD50" s="581"/>
      <c r="AE50" s="581"/>
      <c r="AF50" s="582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</row>
    <row r="51" spans="1:45" ht="15" customHeight="1">
      <c r="A51" s="281"/>
      <c r="B51" s="447" t="s">
        <v>19</v>
      </c>
      <c r="C51" s="518" t="s">
        <v>18</v>
      </c>
      <c r="D51" s="552">
        <v>6197.75</v>
      </c>
      <c r="E51" s="370"/>
      <c r="F51" s="447" t="s">
        <v>19</v>
      </c>
      <c r="G51" s="518" t="s">
        <v>18</v>
      </c>
      <c r="H51" s="492">
        <v>6609.75</v>
      </c>
      <c r="I51" s="343"/>
      <c r="J51" s="277"/>
      <c r="K51" s="277"/>
      <c r="L51" s="277">
        <v>0.12</v>
      </c>
      <c r="M51" s="277"/>
      <c r="N51" s="300">
        <v>0.12</v>
      </c>
      <c r="O51" s="424">
        <f t="shared" si="15"/>
        <v>0</v>
      </c>
      <c r="P51" s="277">
        <f t="shared" si="16"/>
        <v>0</v>
      </c>
      <c r="Q51" s="277">
        <f t="shared" si="17"/>
        <v>793.17</v>
      </c>
      <c r="R51" s="277">
        <f t="shared" si="18"/>
        <v>0</v>
      </c>
      <c r="S51" s="369">
        <f t="shared" si="19"/>
        <v>793.17</v>
      </c>
      <c r="T51" s="414">
        <v>1047.75</v>
      </c>
      <c r="U51" s="275"/>
      <c r="V51" s="275">
        <v>125.73</v>
      </c>
      <c r="W51" s="275"/>
      <c r="X51" s="280">
        <v>125.73</v>
      </c>
      <c r="Y51" s="275">
        <v>5150</v>
      </c>
      <c r="Z51" s="275">
        <v>618</v>
      </c>
      <c r="AA51" s="275">
        <f t="shared" si="20"/>
        <v>49.439999999999955</v>
      </c>
      <c r="AB51" s="278"/>
      <c r="AC51" s="330"/>
      <c r="AD51" s="581"/>
      <c r="AE51" s="581"/>
      <c r="AF51" s="582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</row>
    <row r="52" spans="1:45" ht="15" customHeight="1">
      <c r="A52" s="281"/>
      <c r="B52" s="447" t="s">
        <v>40</v>
      </c>
      <c r="C52" s="518" t="s">
        <v>8</v>
      </c>
      <c r="D52" s="552">
        <v>6197.75</v>
      </c>
      <c r="E52" s="370"/>
      <c r="F52" s="447" t="s">
        <v>40</v>
      </c>
      <c r="G52" s="518" t="s">
        <v>8</v>
      </c>
      <c r="H52" s="486">
        <v>6197.75</v>
      </c>
      <c r="I52" s="343"/>
      <c r="J52" s="277"/>
      <c r="K52" s="277"/>
      <c r="L52" s="277">
        <v>0.11</v>
      </c>
      <c r="M52" s="277"/>
      <c r="N52" s="300">
        <v>0.11</v>
      </c>
      <c r="O52" s="424">
        <f t="shared" si="15"/>
        <v>0</v>
      </c>
      <c r="P52" s="277">
        <f t="shared" si="16"/>
        <v>0</v>
      </c>
      <c r="Q52" s="277">
        <f t="shared" si="17"/>
        <v>681.7525</v>
      </c>
      <c r="R52" s="277">
        <f t="shared" si="18"/>
        <v>0</v>
      </c>
      <c r="S52" s="369">
        <f t="shared" si="19"/>
        <v>681.7525</v>
      </c>
      <c r="T52" s="414">
        <v>697.75</v>
      </c>
      <c r="U52" s="275"/>
      <c r="V52" s="275">
        <v>76.75</v>
      </c>
      <c r="W52" s="275"/>
      <c r="X52" s="280">
        <v>76.75</v>
      </c>
      <c r="Y52" s="275">
        <v>5500</v>
      </c>
      <c r="Z52" s="275">
        <v>605</v>
      </c>
      <c r="AA52" s="275">
        <f t="shared" si="20"/>
        <v>0.0025000000000545697</v>
      </c>
      <c r="AB52" s="278"/>
      <c r="AC52" s="330"/>
      <c r="AD52" s="581"/>
      <c r="AE52" s="581"/>
      <c r="AF52" s="582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</row>
    <row r="53" spans="1:45" ht="15" customHeight="1">
      <c r="A53" s="281"/>
      <c r="B53" s="447" t="s">
        <v>20</v>
      </c>
      <c r="C53" s="518" t="s">
        <v>4</v>
      </c>
      <c r="D53" s="552">
        <v>1363.505</v>
      </c>
      <c r="E53" s="370"/>
      <c r="F53" s="447" t="s">
        <v>20</v>
      </c>
      <c r="G53" s="518" t="s">
        <v>4</v>
      </c>
      <c r="H53" s="492">
        <f>1363.505+704*0.1*1.1</f>
        <v>1440.9450000000002</v>
      </c>
      <c r="I53" s="343"/>
      <c r="J53" s="277"/>
      <c r="K53" s="277"/>
      <c r="L53" s="277">
        <v>0.31</v>
      </c>
      <c r="M53" s="277"/>
      <c r="N53" s="300">
        <v>0.31</v>
      </c>
      <c r="O53" s="424">
        <f t="shared" si="15"/>
        <v>0</v>
      </c>
      <c r="P53" s="277">
        <f t="shared" si="16"/>
        <v>0</v>
      </c>
      <c r="Q53" s="277">
        <f t="shared" si="17"/>
        <v>446.69295000000005</v>
      </c>
      <c r="R53" s="277">
        <f t="shared" si="18"/>
        <v>0</v>
      </c>
      <c r="S53" s="369">
        <f t="shared" si="19"/>
        <v>446.69295000000005</v>
      </c>
      <c r="T53" s="415"/>
      <c r="U53" s="275"/>
      <c r="V53" s="275"/>
      <c r="W53" s="275"/>
      <c r="X53" s="275"/>
      <c r="Y53" s="275">
        <v>1363.51</v>
      </c>
      <c r="Z53" s="275">
        <v>422.69</v>
      </c>
      <c r="AA53" s="275">
        <f t="shared" si="20"/>
        <v>24.002950000000055</v>
      </c>
      <c r="AB53" s="278"/>
      <c r="AC53" s="330"/>
      <c r="AD53" s="581"/>
      <c r="AE53" s="581"/>
      <c r="AF53" s="582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</row>
    <row r="54" spans="1:45" ht="15" customHeight="1">
      <c r="A54" s="281"/>
      <c r="B54" s="447" t="s">
        <v>21</v>
      </c>
      <c r="C54" s="518" t="s">
        <v>3</v>
      </c>
      <c r="D54" s="552">
        <v>1342</v>
      </c>
      <c r="E54" s="370"/>
      <c r="F54" s="447" t="s">
        <v>21</v>
      </c>
      <c r="G54" s="518" t="s">
        <v>3</v>
      </c>
      <c r="H54" s="486">
        <v>1342</v>
      </c>
      <c r="I54" s="343"/>
      <c r="J54" s="277"/>
      <c r="K54" s="277"/>
      <c r="L54" s="277">
        <v>0.26</v>
      </c>
      <c r="M54" s="277"/>
      <c r="N54" s="300">
        <v>0.26</v>
      </c>
      <c r="O54" s="424">
        <f t="shared" si="15"/>
        <v>0</v>
      </c>
      <c r="P54" s="277">
        <f t="shared" si="16"/>
        <v>0</v>
      </c>
      <c r="Q54" s="277">
        <f t="shared" si="17"/>
        <v>348.92</v>
      </c>
      <c r="R54" s="277">
        <f t="shared" si="18"/>
        <v>0</v>
      </c>
      <c r="S54" s="369">
        <f t="shared" si="19"/>
        <v>348.92</v>
      </c>
      <c r="T54" s="415"/>
      <c r="U54" s="275"/>
      <c r="V54" s="275"/>
      <c r="W54" s="275"/>
      <c r="X54" s="275"/>
      <c r="Y54" s="275">
        <v>1342.0037888749948</v>
      </c>
      <c r="Z54" s="275">
        <v>348.92</v>
      </c>
      <c r="AA54" s="275">
        <f t="shared" si="20"/>
        <v>0</v>
      </c>
      <c r="AB54" s="278"/>
      <c r="AC54" s="330"/>
      <c r="AD54" s="581"/>
      <c r="AE54" s="581"/>
      <c r="AF54" s="582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</row>
    <row r="55" spans="1:45" ht="15" customHeight="1">
      <c r="A55" s="281"/>
      <c r="B55" s="447" t="s">
        <v>87</v>
      </c>
      <c r="C55" s="518" t="s">
        <v>3</v>
      </c>
      <c r="D55" s="552">
        <v>147</v>
      </c>
      <c r="E55" s="370"/>
      <c r="F55" s="447" t="s">
        <v>87</v>
      </c>
      <c r="G55" s="518" t="s">
        <v>3</v>
      </c>
      <c r="H55" s="486">
        <v>147</v>
      </c>
      <c r="I55" s="343"/>
      <c r="J55" s="277"/>
      <c r="K55" s="277"/>
      <c r="L55" s="277">
        <v>1.5</v>
      </c>
      <c r="M55" s="277"/>
      <c r="N55" s="300">
        <v>1.5</v>
      </c>
      <c r="O55" s="424">
        <f t="shared" si="15"/>
        <v>0</v>
      </c>
      <c r="P55" s="277">
        <f t="shared" si="16"/>
        <v>0</v>
      </c>
      <c r="Q55" s="277">
        <f t="shared" si="17"/>
        <v>220.5</v>
      </c>
      <c r="R55" s="277">
        <f t="shared" si="18"/>
        <v>0</v>
      </c>
      <c r="S55" s="369">
        <f t="shared" si="19"/>
        <v>220.5</v>
      </c>
      <c r="T55" s="415"/>
      <c r="U55" s="275"/>
      <c r="V55" s="275"/>
      <c r="W55" s="275"/>
      <c r="X55" s="275"/>
      <c r="Y55" s="275">
        <v>147</v>
      </c>
      <c r="Z55" s="275">
        <v>220.5</v>
      </c>
      <c r="AA55" s="275">
        <f t="shared" si="20"/>
        <v>0</v>
      </c>
      <c r="AB55" s="278"/>
      <c r="AC55" s="330"/>
      <c r="AD55" s="581"/>
      <c r="AE55" s="581"/>
      <c r="AF55" s="582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</row>
    <row r="56" spans="1:45" ht="15" customHeight="1">
      <c r="A56" s="281" t="s">
        <v>54</v>
      </c>
      <c r="B56" s="439" t="s">
        <v>22</v>
      </c>
      <c r="C56" s="518" t="s">
        <v>4</v>
      </c>
      <c r="D56" s="552">
        <v>1239.55</v>
      </c>
      <c r="E56" s="370" t="s">
        <v>54</v>
      </c>
      <c r="F56" s="439" t="s">
        <v>22</v>
      </c>
      <c r="G56" s="518" t="s">
        <v>4</v>
      </c>
      <c r="H56" s="490">
        <f>1239.55+704*0.1+14.42</f>
        <v>1324.3700000000001</v>
      </c>
      <c r="I56" s="320">
        <v>0.45454545454545453</v>
      </c>
      <c r="J56" s="277">
        <v>2.2</v>
      </c>
      <c r="K56" s="276">
        <v>1</v>
      </c>
      <c r="L56" s="277"/>
      <c r="M56" s="277">
        <v>0.05</v>
      </c>
      <c r="N56" s="300">
        <v>1.05</v>
      </c>
      <c r="O56" s="424">
        <f t="shared" si="15"/>
        <v>601.9863636363636</v>
      </c>
      <c r="P56" s="277">
        <f t="shared" si="16"/>
        <v>1324.3700000000001</v>
      </c>
      <c r="Q56" s="277">
        <f t="shared" si="17"/>
        <v>0</v>
      </c>
      <c r="R56" s="277">
        <f t="shared" si="18"/>
        <v>66.2185</v>
      </c>
      <c r="S56" s="369">
        <f t="shared" si="19"/>
        <v>1390.5885</v>
      </c>
      <c r="T56" s="413">
        <v>0</v>
      </c>
      <c r="U56" s="275">
        <f>ROUND(T56*K56,2)</f>
        <v>0</v>
      </c>
      <c r="V56" s="275">
        <f>ROUND(T56*L56,2)</f>
        <v>0</v>
      </c>
      <c r="W56" s="275">
        <f>T56*M56</f>
        <v>0</v>
      </c>
      <c r="X56" s="280">
        <f>U56+V56+W56</f>
        <v>0</v>
      </c>
      <c r="Y56" s="275">
        <v>495.82</v>
      </c>
      <c r="Z56" s="275">
        <v>520.611</v>
      </c>
      <c r="AA56" s="275">
        <f t="shared" si="20"/>
        <v>869.9775000000001</v>
      </c>
      <c r="AB56" s="278"/>
      <c r="AC56" s="330"/>
      <c r="AD56" s="581"/>
      <c r="AE56" s="581"/>
      <c r="AF56" s="582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</row>
    <row r="57" spans="1:45" ht="15" customHeight="1">
      <c r="A57" s="281"/>
      <c r="B57" s="447" t="s">
        <v>23</v>
      </c>
      <c r="C57" s="518" t="s">
        <v>18</v>
      </c>
      <c r="D57" s="552">
        <v>4958.2</v>
      </c>
      <c r="E57" s="370"/>
      <c r="F57" s="447" t="s">
        <v>23</v>
      </c>
      <c r="G57" s="518" t="s">
        <v>18</v>
      </c>
      <c r="H57" s="490">
        <f>D57/D56*H56</f>
        <v>5297.4800000000005</v>
      </c>
      <c r="I57" s="343"/>
      <c r="J57" s="277"/>
      <c r="K57" s="276"/>
      <c r="L57" s="277">
        <v>0.2</v>
      </c>
      <c r="M57" s="277"/>
      <c r="N57" s="300">
        <v>0.2</v>
      </c>
      <c r="O57" s="424">
        <f t="shared" si="15"/>
        <v>0</v>
      </c>
      <c r="P57" s="277">
        <f t="shared" si="16"/>
        <v>0</v>
      </c>
      <c r="Q57" s="277">
        <f t="shared" si="17"/>
        <v>1059.496</v>
      </c>
      <c r="R57" s="277">
        <f t="shared" si="18"/>
        <v>0</v>
      </c>
      <c r="S57" s="369">
        <f t="shared" si="19"/>
        <v>1059.496</v>
      </c>
      <c r="T57" s="294"/>
      <c r="U57" s="275"/>
      <c r="V57" s="275"/>
      <c r="W57" s="275"/>
      <c r="X57" s="275"/>
      <c r="Y57" s="275">
        <v>4958.2</v>
      </c>
      <c r="Z57" s="275">
        <v>991.64</v>
      </c>
      <c r="AA57" s="275">
        <f t="shared" si="20"/>
        <v>67.85600000000011</v>
      </c>
      <c r="AB57" s="278"/>
      <c r="AC57" s="330"/>
      <c r="AD57" s="581"/>
      <c r="AE57" s="581"/>
      <c r="AF57" s="582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</row>
    <row r="58" spans="1:45" ht="15" customHeight="1">
      <c r="A58" s="281"/>
      <c r="B58" s="447" t="s">
        <v>24</v>
      </c>
      <c r="C58" s="518" t="s">
        <v>25</v>
      </c>
      <c r="D58" s="552">
        <v>247.91</v>
      </c>
      <c r="E58" s="370"/>
      <c r="F58" s="447" t="s">
        <v>24</v>
      </c>
      <c r="G58" s="518" t="s">
        <v>25</v>
      </c>
      <c r="H58" s="490">
        <f>D58/D56*H56</f>
        <v>264.874</v>
      </c>
      <c r="I58" s="343"/>
      <c r="J58" s="277"/>
      <c r="K58" s="276"/>
      <c r="L58" s="277">
        <v>0.69</v>
      </c>
      <c r="M58" s="277"/>
      <c r="N58" s="300">
        <v>0.69</v>
      </c>
      <c r="O58" s="424">
        <f t="shared" si="15"/>
        <v>0</v>
      </c>
      <c r="P58" s="277">
        <f t="shared" si="16"/>
        <v>0</v>
      </c>
      <c r="Q58" s="277">
        <f t="shared" si="17"/>
        <v>182.76306</v>
      </c>
      <c r="R58" s="277">
        <f t="shared" si="18"/>
        <v>0</v>
      </c>
      <c r="S58" s="369">
        <f t="shared" si="19"/>
        <v>182.76306</v>
      </c>
      <c r="T58" s="294"/>
      <c r="U58" s="275"/>
      <c r="V58" s="275"/>
      <c r="W58" s="275"/>
      <c r="X58" s="275"/>
      <c r="Y58" s="275">
        <v>247.91</v>
      </c>
      <c r="Z58" s="275">
        <v>171.06</v>
      </c>
      <c r="AA58" s="275">
        <f t="shared" si="20"/>
        <v>11.703059999999994</v>
      </c>
      <c r="AB58" s="278"/>
      <c r="AC58" s="330"/>
      <c r="AD58" s="581"/>
      <c r="AE58" s="581"/>
      <c r="AF58" s="582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</row>
    <row r="59" spans="1:45" ht="15" customHeight="1">
      <c r="A59" s="281" t="s">
        <v>55</v>
      </c>
      <c r="B59" s="437" t="s">
        <v>26</v>
      </c>
      <c r="C59" s="519" t="s">
        <v>4</v>
      </c>
      <c r="D59" s="553">
        <v>1239.55</v>
      </c>
      <c r="E59" s="370" t="s">
        <v>55</v>
      </c>
      <c r="F59" s="437" t="s">
        <v>26</v>
      </c>
      <c r="G59" s="519" t="s">
        <v>4</v>
      </c>
      <c r="H59" s="489">
        <f>1239.55+14.42</f>
        <v>1253.97</v>
      </c>
      <c r="I59" s="320">
        <v>0.45454545454545453</v>
      </c>
      <c r="J59" s="277">
        <v>2.2</v>
      </c>
      <c r="K59" s="276">
        <v>1</v>
      </c>
      <c r="L59" s="277"/>
      <c r="M59" s="277">
        <v>0.05</v>
      </c>
      <c r="N59" s="300">
        <v>1.05</v>
      </c>
      <c r="O59" s="424">
        <f t="shared" si="15"/>
        <v>569.9863636363636</v>
      </c>
      <c r="P59" s="277">
        <f t="shared" si="16"/>
        <v>1253.97</v>
      </c>
      <c r="Q59" s="277">
        <f t="shared" si="17"/>
        <v>0</v>
      </c>
      <c r="R59" s="277">
        <f t="shared" si="18"/>
        <v>62.6985</v>
      </c>
      <c r="S59" s="369">
        <f t="shared" si="19"/>
        <v>1316.6685</v>
      </c>
      <c r="T59" s="294"/>
      <c r="U59" s="275"/>
      <c r="V59" s="275"/>
      <c r="W59" s="275"/>
      <c r="X59" s="275"/>
      <c r="Y59" s="275">
        <v>0</v>
      </c>
      <c r="Z59" s="275">
        <v>0</v>
      </c>
      <c r="AA59" s="275">
        <f t="shared" si="20"/>
        <v>1316.6685</v>
      </c>
      <c r="AB59" s="278"/>
      <c r="AC59" s="330"/>
      <c r="AD59" s="581"/>
      <c r="AE59" s="581"/>
      <c r="AF59" s="582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</row>
    <row r="60" spans="1:45" ht="15" customHeight="1">
      <c r="A60" s="281"/>
      <c r="B60" s="447" t="s">
        <v>24</v>
      </c>
      <c r="C60" s="518" t="s">
        <v>25</v>
      </c>
      <c r="D60" s="552">
        <v>247.91</v>
      </c>
      <c r="E60" s="370"/>
      <c r="F60" s="447" t="s">
        <v>24</v>
      </c>
      <c r="G60" s="518" t="s">
        <v>25</v>
      </c>
      <c r="H60" s="486">
        <v>247.91</v>
      </c>
      <c r="I60" s="343"/>
      <c r="J60" s="277"/>
      <c r="K60" s="276"/>
      <c r="L60" s="277">
        <v>0.69</v>
      </c>
      <c r="M60" s="277"/>
      <c r="N60" s="300">
        <v>0.69</v>
      </c>
      <c r="O60" s="424">
        <f t="shared" si="15"/>
        <v>0</v>
      </c>
      <c r="P60" s="277">
        <f t="shared" si="16"/>
        <v>0</v>
      </c>
      <c r="Q60" s="277">
        <f t="shared" si="17"/>
        <v>171.0579</v>
      </c>
      <c r="R60" s="277">
        <f t="shared" si="18"/>
        <v>0</v>
      </c>
      <c r="S60" s="369">
        <f t="shared" si="19"/>
        <v>171.0579</v>
      </c>
      <c r="T60" s="294"/>
      <c r="U60" s="275"/>
      <c r="V60" s="275"/>
      <c r="W60" s="275"/>
      <c r="X60" s="275"/>
      <c r="Y60" s="275">
        <v>247.91</v>
      </c>
      <c r="Z60" s="275">
        <v>171.06</v>
      </c>
      <c r="AA60" s="275">
        <f t="shared" si="20"/>
        <v>-0.0021000000000128694</v>
      </c>
      <c r="AB60" s="278"/>
      <c r="AC60" s="330"/>
      <c r="AD60" s="581"/>
      <c r="AE60" s="581"/>
      <c r="AF60" s="582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</row>
    <row r="61" spans="1:45" ht="15" customHeight="1">
      <c r="A61" s="281"/>
      <c r="B61" s="447" t="s">
        <v>170</v>
      </c>
      <c r="C61" s="518" t="s">
        <v>25</v>
      </c>
      <c r="D61" s="552">
        <v>371.865</v>
      </c>
      <c r="E61" s="370"/>
      <c r="F61" s="447" t="s">
        <v>170</v>
      </c>
      <c r="G61" s="518" t="s">
        <v>25</v>
      </c>
      <c r="H61" s="486">
        <v>371.865</v>
      </c>
      <c r="I61" s="320"/>
      <c r="J61" s="276"/>
      <c r="K61" s="276"/>
      <c r="L61" s="276">
        <v>2.85</v>
      </c>
      <c r="M61" s="276"/>
      <c r="N61" s="300">
        <v>2.85</v>
      </c>
      <c r="O61" s="424">
        <f t="shared" si="15"/>
        <v>0</v>
      </c>
      <c r="P61" s="277">
        <f t="shared" si="16"/>
        <v>0</v>
      </c>
      <c r="Q61" s="277">
        <f t="shared" si="17"/>
        <v>1059.81525</v>
      </c>
      <c r="R61" s="277">
        <f t="shared" si="18"/>
        <v>0</v>
      </c>
      <c r="S61" s="369">
        <f t="shared" si="19"/>
        <v>1059.81525</v>
      </c>
      <c r="T61" s="294"/>
      <c r="U61" s="275"/>
      <c r="V61" s="275"/>
      <c r="W61" s="275"/>
      <c r="X61" s="275"/>
      <c r="Y61" s="275">
        <v>371.865</v>
      </c>
      <c r="Z61" s="275">
        <v>1059.82</v>
      </c>
      <c r="AA61" s="275">
        <f t="shared" si="20"/>
        <v>-0.004749999999830834</v>
      </c>
      <c r="AB61" s="278"/>
      <c r="AC61" s="330"/>
      <c r="AD61" s="581"/>
      <c r="AE61" s="581"/>
      <c r="AF61" s="582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</row>
    <row r="62" spans="1:45" ht="15" customHeight="1">
      <c r="A62" s="281" t="s">
        <v>56</v>
      </c>
      <c r="B62" s="439" t="s">
        <v>27</v>
      </c>
      <c r="C62" s="518" t="s">
        <v>3</v>
      </c>
      <c r="D62" s="552">
        <v>140</v>
      </c>
      <c r="E62" s="372" t="s">
        <v>479</v>
      </c>
      <c r="F62" s="439" t="s">
        <v>27</v>
      </c>
      <c r="G62" s="518" t="s">
        <v>3</v>
      </c>
      <c r="H62" s="490">
        <v>82</v>
      </c>
      <c r="I62" s="320">
        <v>0.8181818181818181</v>
      </c>
      <c r="J62" s="277">
        <v>2.2</v>
      </c>
      <c r="K62" s="276">
        <v>1.8</v>
      </c>
      <c r="L62" s="277"/>
      <c r="M62" s="277">
        <v>0.05</v>
      </c>
      <c r="N62" s="300">
        <v>1.85</v>
      </c>
      <c r="O62" s="424">
        <f t="shared" si="15"/>
        <v>67.09090909090908</v>
      </c>
      <c r="P62" s="277">
        <f t="shared" si="16"/>
        <v>147.6</v>
      </c>
      <c r="Q62" s="277">
        <f t="shared" si="17"/>
        <v>0</v>
      </c>
      <c r="R62" s="277">
        <f t="shared" si="18"/>
        <v>4.1000000000000005</v>
      </c>
      <c r="S62" s="369">
        <f t="shared" si="19"/>
        <v>151.7</v>
      </c>
      <c r="T62" s="294"/>
      <c r="U62" s="275"/>
      <c r="V62" s="275"/>
      <c r="W62" s="275"/>
      <c r="X62" s="275"/>
      <c r="Y62" s="275">
        <v>0</v>
      </c>
      <c r="Z62" s="275">
        <v>0</v>
      </c>
      <c r="AA62" s="275">
        <f t="shared" si="20"/>
        <v>151.7</v>
      </c>
      <c r="AB62" s="821" t="s">
        <v>439</v>
      </c>
      <c r="AC62" s="330"/>
      <c r="AD62" s="836"/>
      <c r="AE62" s="581"/>
      <c r="AF62" s="582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</row>
    <row r="63" spans="1:45" ht="15" customHeight="1">
      <c r="A63" s="281"/>
      <c r="B63" s="447" t="s">
        <v>28</v>
      </c>
      <c r="C63" s="518" t="s">
        <v>3</v>
      </c>
      <c r="D63" s="552">
        <v>145.6</v>
      </c>
      <c r="E63" s="372"/>
      <c r="F63" s="447" t="s">
        <v>28</v>
      </c>
      <c r="G63" s="518" t="s">
        <v>3</v>
      </c>
      <c r="H63" s="490">
        <f>H62*1.04</f>
        <v>85.28</v>
      </c>
      <c r="I63" s="343"/>
      <c r="J63" s="277"/>
      <c r="K63" s="276"/>
      <c r="L63" s="277">
        <v>2.85</v>
      </c>
      <c r="M63" s="277"/>
      <c r="N63" s="300">
        <v>2.85</v>
      </c>
      <c r="O63" s="424">
        <f t="shared" si="15"/>
        <v>0</v>
      </c>
      <c r="P63" s="277">
        <f t="shared" si="16"/>
        <v>0</v>
      </c>
      <c r="Q63" s="277">
        <f t="shared" si="17"/>
        <v>243.048</v>
      </c>
      <c r="R63" s="277">
        <f t="shared" si="18"/>
        <v>0</v>
      </c>
      <c r="S63" s="369">
        <f t="shared" si="19"/>
        <v>243.048</v>
      </c>
      <c r="T63" s="294"/>
      <c r="U63" s="275"/>
      <c r="V63" s="275"/>
      <c r="W63" s="275"/>
      <c r="X63" s="280"/>
      <c r="Y63" s="275">
        <v>0</v>
      </c>
      <c r="Z63" s="275">
        <v>0</v>
      </c>
      <c r="AA63" s="275">
        <f t="shared" si="20"/>
        <v>243.048</v>
      </c>
      <c r="AB63" s="821"/>
      <c r="AC63" s="330"/>
      <c r="AD63" s="837"/>
      <c r="AE63" s="581"/>
      <c r="AF63" s="582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</row>
    <row r="64" spans="1:45" ht="15" customHeight="1">
      <c r="A64" s="281"/>
      <c r="B64" s="449" t="s">
        <v>146</v>
      </c>
      <c r="C64" s="518" t="s">
        <v>8</v>
      </c>
      <c r="D64" s="552">
        <v>420</v>
      </c>
      <c r="E64" s="372"/>
      <c r="F64" s="449" t="s">
        <v>146</v>
      </c>
      <c r="G64" s="518" t="s">
        <v>8</v>
      </c>
      <c r="H64" s="490">
        <f>H62*3</f>
        <v>246</v>
      </c>
      <c r="I64" s="343"/>
      <c r="J64" s="277"/>
      <c r="K64" s="277"/>
      <c r="L64" s="277">
        <v>0.01</v>
      </c>
      <c r="M64" s="277"/>
      <c r="N64" s="300">
        <v>0.01</v>
      </c>
      <c r="O64" s="424">
        <f t="shared" si="15"/>
        <v>0</v>
      </c>
      <c r="P64" s="277">
        <f t="shared" si="16"/>
        <v>0</v>
      </c>
      <c r="Q64" s="277">
        <f t="shared" si="17"/>
        <v>2.46</v>
      </c>
      <c r="R64" s="277">
        <f t="shared" si="18"/>
        <v>0</v>
      </c>
      <c r="S64" s="369">
        <f t="shared" si="19"/>
        <v>2.46</v>
      </c>
      <c r="T64" s="294"/>
      <c r="U64" s="275"/>
      <c r="V64" s="275"/>
      <c r="W64" s="275"/>
      <c r="X64" s="280"/>
      <c r="Y64" s="275">
        <v>0</v>
      </c>
      <c r="Z64" s="275">
        <v>0</v>
      </c>
      <c r="AA64" s="275">
        <f t="shared" si="20"/>
        <v>2.46</v>
      </c>
      <c r="AB64" s="822"/>
      <c r="AC64" s="330"/>
      <c r="AD64" s="837"/>
      <c r="AE64" s="581"/>
      <c r="AF64" s="582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</row>
    <row r="65" spans="1:45" ht="15" customHeight="1">
      <c r="A65" s="281" t="s">
        <v>57</v>
      </c>
      <c r="B65" s="436" t="s">
        <v>29</v>
      </c>
      <c r="C65" s="518" t="s">
        <v>3</v>
      </c>
      <c r="D65" s="552">
        <v>704</v>
      </c>
      <c r="E65" s="370" t="s">
        <v>57</v>
      </c>
      <c r="F65" s="436" t="s">
        <v>29</v>
      </c>
      <c r="G65" s="518" t="s">
        <v>3</v>
      </c>
      <c r="H65" s="486">
        <v>704</v>
      </c>
      <c r="I65" s="320">
        <v>1.1363636363636362</v>
      </c>
      <c r="J65" s="277">
        <v>2.2</v>
      </c>
      <c r="K65" s="276">
        <v>2.5</v>
      </c>
      <c r="L65" s="277">
        <v>0.3</v>
      </c>
      <c r="M65" s="277">
        <v>0.35</v>
      </c>
      <c r="N65" s="300">
        <v>3.15</v>
      </c>
      <c r="O65" s="424">
        <f t="shared" si="15"/>
        <v>799.9999999999999</v>
      </c>
      <c r="P65" s="277">
        <f t="shared" si="16"/>
        <v>1760</v>
      </c>
      <c r="Q65" s="277">
        <f t="shared" si="17"/>
        <v>211.2</v>
      </c>
      <c r="R65" s="277">
        <f t="shared" si="18"/>
        <v>246.39999999999998</v>
      </c>
      <c r="S65" s="369">
        <f t="shared" si="19"/>
        <v>2217.6</v>
      </c>
      <c r="T65" s="413">
        <v>35.2</v>
      </c>
      <c r="U65" s="275">
        <f>ROUND(T65*K65,2)</f>
        <v>88</v>
      </c>
      <c r="V65" s="275">
        <f>ROUND(T65*L65,2)</f>
        <v>10.56</v>
      </c>
      <c r="W65" s="275">
        <f>T65*M65</f>
        <v>12.32</v>
      </c>
      <c r="X65" s="280">
        <f>U65+V65+W65</f>
        <v>110.88</v>
      </c>
      <c r="Y65" s="275">
        <v>633.6</v>
      </c>
      <c r="Z65" s="275">
        <v>1995.84</v>
      </c>
      <c r="AA65" s="275">
        <f t="shared" si="20"/>
        <v>110.88</v>
      </c>
      <c r="AB65" s="296"/>
      <c r="AC65" s="330"/>
      <c r="AD65" s="581"/>
      <c r="AE65" s="581"/>
      <c r="AF65" s="582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</row>
    <row r="66" spans="1:45" ht="15" customHeight="1">
      <c r="A66" s="281"/>
      <c r="B66" s="447" t="s">
        <v>30</v>
      </c>
      <c r="C66" s="518" t="s">
        <v>4</v>
      </c>
      <c r="D66" s="552">
        <v>36.96</v>
      </c>
      <c r="E66" s="370"/>
      <c r="F66" s="450" t="s">
        <v>424</v>
      </c>
      <c r="G66" s="518" t="s">
        <v>4</v>
      </c>
      <c r="H66" s="486">
        <v>36.96</v>
      </c>
      <c r="I66" s="343"/>
      <c r="J66" s="277"/>
      <c r="K66" s="276"/>
      <c r="L66" s="352">
        <v>2.1</v>
      </c>
      <c r="M66" s="277"/>
      <c r="N66" s="300">
        <v>2.1</v>
      </c>
      <c r="O66" s="424">
        <f t="shared" si="15"/>
        <v>0</v>
      </c>
      <c r="P66" s="277">
        <f t="shared" si="16"/>
        <v>0</v>
      </c>
      <c r="Q66" s="277">
        <f t="shared" si="17"/>
        <v>77.616</v>
      </c>
      <c r="R66" s="277">
        <f t="shared" si="18"/>
        <v>0</v>
      </c>
      <c r="S66" s="369">
        <f t="shared" si="19"/>
        <v>77.616</v>
      </c>
      <c r="T66" s="294"/>
      <c r="U66" s="275"/>
      <c r="V66" s="275"/>
      <c r="W66" s="275"/>
      <c r="X66" s="275"/>
      <c r="Y66" s="275">
        <v>36.96</v>
      </c>
      <c r="Z66" s="275">
        <v>92.4</v>
      </c>
      <c r="AA66" s="275">
        <f t="shared" si="20"/>
        <v>-14.784000000000006</v>
      </c>
      <c r="AB66" s="278"/>
      <c r="AC66" s="330"/>
      <c r="AD66" s="581"/>
      <c r="AE66" s="581"/>
      <c r="AF66" s="582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</row>
    <row r="67" spans="1:45" ht="15" customHeight="1">
      <c r="A67" s="281"/>
      <c r="B67" s="447" t="s">
        <v>309</v>
      </c>
      <c r="C67" s="518" t="s">
        <v>4</v>
      </c>
      <c r="D67" s="552">
        <v>154.88</v>
      </c>
      <c r="E67" s="370"/>
      <c r="F67" s="450" t="s">
        <v>425</v>
      </c>
      <c r="G67" s="518" t="s">
        <v>4</v>
      </c>
      <c r="H67" s="486">
        <v>154.88</v>
      </c>
      <c r="I67" s="343"/>
      <c r="J67" s="277"/>
      <c r="K67" s="277"/>
      <c r="L67" s="277">
        <v>6.1</v>
      </c>
      <c r="M67" s="277"/>
      <c r="N67" s="300">
        <v>6.1</v>
      </c>
      <c r="O67" s="424">
        <f t="shared" si="15"/>
        <v>0</v>
      </c>
      <c r="P67" s="277">
        <f t="shared" si="16"/>
        <v>0</v>
      </c>
      <c r="Q67" s="277">
        <f t="shared" si="17"/>
        <v>944.7679999999999</v>
      </c>
      <c r="R67" s="277">
        <f t="shared" si="18"/>
        <v>0</v>
      </c>
      <c r="S67" s="369">
        <f t="shared" si="19"/>
        <v>944.7679999999999</v>
      </c>
      <c r="T67" s="294"/>
      <c r="U67" s="275"/>
      <c r="V67" s="275"/>
      <c r="W67" s="275"/>
      <c r="X67" s="275"/>
      <c r="Y67" s="275">
        <v>154.88</v>
      </c>
      <c r="Z67" s="275">
        <v>944.77</v>
      </c>
      <c r="AA67" s="275">
        <f t="shared" si="20"/>
        <v>-0.002000000000066393</v>
      </c>
      <c r="AB67" s="278"/>
      <c r="AC67" s="330"/>
      <c r="AD67" s="581"/>
      <c r="AE67" s="581"/>
      <c r="AF67" s="582"/>
      <c r="AG67" s="266"/>
      <c r="AH67" s="266"/>
      <c r="AI67" s="266"/>
      <c r="AJ67" s="266"/>
      <c r="AK67" s="266"/>
      <c r="AL67" s="266"/>
      <c r="AM67" s="266"/>
      <c r="AN67" s="266"/>
      <c r="AO67" s="266"/>
      <c r="AP67" s="266"/>
      <c r="AQ67" s="266"/>
      <c r="AR67" s="266"/>
      <c r="AS67" s="266"/>
    </row>
    <row r="68" spans="1:45" ht="15" customHeight="1">
      <c r="A68" s="281"/>
      <c r="B68" s="447" t="s">
        <v>17</v>
      </c>
      <c r="C68" s="518" t="s">
        <v>18</v>
      </c>
      <c r="D68" s="552">
        <v>767.36</v>
      </c>
      <c r="E68" s="370"/>
      <c r="F68" s="447" t="s">
        <v>17</v>
      </c>
      <c r="G68" s="518" t="s">
        <v>18</v>
      </c>
      <c r="H68" s="486">
        <v>767.36</v>
      </c>
      <c r="I68" s="343"/>
      <c r="J68" s="277"/>
      <c r="K68" s="277"/>
      <c r="L68" s="277">
        <v>0.11</v>
      </c>
      <c r="M68" s="277"/>
      <c r="N68" s="300">
        <v>0.11</v>
      </c>
      <c r="O68" s="424">
        <f t="shared" si="15"/>
        <v>0</v>
      </c>
      <c r="P68" s="277">
        <f t="shared" si="16"/>
        <v>0</v>
      </c>
      <c r="Q68" s="277">
        <f t="shared" si="17"/>
        <v>84.4096</v>
      </c>
      <c r="R68" s="277">
        <f t="shared" si="18"/>
        <v>0</v>
      </c>
      <c r="S68" s="369">
        <f t="shared" si="19"/>
        <v>84.4096</v>
      </c>
      <c r="T68" s="294"/>
      <c r="U68" s="275"/>
      <c r="V68" s="275"/>
      <c r="W68" s="275"/>
      <c r="X68" s="275"/>
      <c r="Y68" s="275">
        <v>767.36</v>
      </c>
      <c r="Z68" s="275">
        <v>84.41</v>
      </c>
      <c r="AA68" s="275">
        <f t="shared" si="20"/>
        <v>-0.00039999999999906777</v>
      </c>
      <c r="AB68" s="278"/>
      <c r="AC68" s="330"/>
      <c r="AD68" s="581"/>
      <c r="AE68" s="581"/>
      <c r="AF68" s="582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</row>
    <row r="69" spans="1:45" ht="15" customHeight="1">
      <c r="A69" s="281"/>
      <c r="B69" s="447" t="s">
        <v>185</v>
      </c>
      <c r="C69" s="518" t="s">
        <v>25</v>
      </c>
      <c r="D69" s="552">
        <v>140.8</v>
      </c>
      <c r="E69" s="370"/>
      <c r="F69" s="447" t="s">
        <v>185</v>
      </c>
      <c r="G69" s="518" t="s">
        <v>25</v>
      </c>
      <c r="H69" s="486">
        <v>140.8</v>
      </c>
      <c r="I69" s="343"/>
      <c r="J69" s="277"/>
      <c r="K69" s="277"/>
      <c r="L69" s="277">
        <v>2.5</v>
      </c>
      <c r="M69" s="277"/>
      <c r="N69" s="300">
        <v>2.5</v>
      </c>
      <c r="O69" s="424">
        <f t="shared" si="15"/>
        <v>0</v>
      </c>
      <c r="P69" s="277">
        <f t="shared" si="16"/>
        <v>0</v>
      </c>
      <c r="Q69" s="277">
        <f t="shared" si="17"/>
        <v>352</v>
      </c>
      <c r="R69" s="277">
        <f t="shared" si="18"/>
        <v>0</v>
      </c>
      <c r="S69" s="369">
        <f t="shared" si="19"/>
        <v>352</v>
      </c>
      <c r="T69" s="294"/>
      <c r="U69" s="275"/>
      <c r="V69" s="275"/>
      <c r="W69" s="275"/>
      <c r="X69" s="275"/>
      <c r="Y69" s="275">
        <v>140.8</v>
      </c>
      <c r="Z69" s="275">
        <v>352</v>
      </c>
      <c r="AA69" s="275">
        <f t="shared" si="20"/>
        <v>0</v>
      </c>
      <c r="AB69" s="278"/>
      <c r="AC69" s="330"/>
      <c r="AD69" s="581"/>
      <c r="AE69" s="581"/>
      <c r="AF69" s="582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</row>
    <row r="70" spans="1:45" ht="15" customHeight="1">
      <c r="A70" s="281"/>
      <c r="B70" s="447" t="s">
        <v>186</v>
      </c>
      <c r="C70" s="518" t="s">
        <v>18</v>
      </c>
      <c r="D70" s="552">
        <v>211.2</v>
      </c>
      <c r="E70" s="370"/>
      <c r="F70" s="447" t="s">
        <v>186</v>
      </c>
      <c r="G70" s="518" t="s">
        <v>18</v>
      </c>
      <c r="H70" s="486">
        <v>211.2</v>
      </c>
      <c r="I70" s="343"/>
      <c r="J70" s="277"/>
      <c r="K70" s="277"/>
      <c r="L70" s="277">
        <v>2.85</v>
      </c>
      <c r="M70" s="277"/>
      <c r="N70" s="300">
        <v>2.85</v>
      </c>
      <c r="O70" s="424">
        <f t="shared" si="15"/>
        <v>0</v>
      </c>
      <c r="P70" s="277">
        <f t="shared" si="16"/>
        <v>0</v>
      </c>
      <c r="Q70" s="277">
        <f t="shared" si="17"/>
        <v>601.92</v>
      </c>
      <c r="R70" s="277">
        <f t="shared" si="18"/>
        <v>0</v>
      </c>
      <c r="S70" s="369">
        <f t="shared" si="19"/>
        <v>601.92</v>
      </c>
      <c r="T70" s="413">
        <v>0</v>
      </c>
      <c r="U70" s="275"/>
      <c r="V70" s="280">
        <v>0</v>
      </c>
      <c r="W70" s="275"/>
      <c r="X70" s="275"/>
      <c r="Y70" s="275">
        <v>0</v>
      </c>
      <c r="Z70" s="275">
        <v>0</v>
      </c>
      <c r="AA70" s="275">
        <f t="shared" si="20"/>
        <v>601.92</v>
      </c>
      <c r="AB70" s="278"/>
      <c r="AC70" s="330"/>
      <c r="AD70" s="581"/>
      <c r="AE70" s="581"/>
      <c r="AF70" s="582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</row>
    <row r="71" spans="1:45" ht="15" customHeight="1">
      <c r="A71" s="282" t="s">
        <v>58</v>
      </c>
      <c r="B71" s="442" t="s">
        <v>143</v>
      </c>
      <c r="C71" s="519" t="s">
        <v>3</v>
      </c>
      <c r="D71" s="553">
        <v>239</v>
      </c>
      <c r="E71" s="375" t="s">
        <v>58</v>
      </c>
      <c r="F71" s="442" t="s">
        <v>143</v>
      </c>
      <c r="G71" s="519" t="s">
        <v>3</v>
      </c>
      <c r="H71" s="487">
        <v>239</v>
      </c>
      <c r="I71" s="320">
        <v>0.8181818181818181</v>
      </c>
      <c r="J71" s="277">
        <v>2.2</v>
      </c>
      <c r="K71" s="276">
        <v>1.8</v>
      </c>
      <c r="L71" s="276"/>
      <c r="M71" s="276">
        <v>0.15</v>
      </c>
      <c r="N71" s="300">
        <v>1.95</v>
      </c>
      <c r="O71" s="424">
        <f t="shared" si="15"/>
        <v>195.54545454545453</v>
      </c>
      <c r="P71" s="277">
        <f t="shared" si="16"/>
        <v>430.2</v>
      </c>
      <c r="Q71" s="277">
        <f t="shared" si="17"/>
        <v>0</v>
      </c>
      <c r="R71" s="277">
        <f t="shared" si="18"/>
        <v>35.85</v>
      </c>
      <c r="S71" s="369">
        <f t="shared" si="19"/>
        <v>466.05</v>
      </c>
      <c r="T71" s="294">
        <v>227.05</v>
      </c>
      <c r="U71" s="275">
        <f>ROUND(T71*K71,2)</f>
        <v>408.69</v>
      </c>
      <c r="V71" s="275">
        <f>ROUND(T71*L71,2)</f>
        <v>0</v>
      </c>
      <c r="W71" s="275">
        <f>T71*M71</f>
        <v>34.0575</v>
      </c>
      <c r="X71" s="280">
        <f>U71+V71+W71</f>
        <v>442.7475</v>
      </c>
      <c r="Y71" s="275">
        <v>0</v>
      </c>
      <c r="Z71" s="275">
        <v>0</v>
      </c>
      <c r="AA71" s="275">
        <f t="shared" si="20"/>
        <v>23.30250000000001</v>
      </c>
      <c r="AB71" s="297"/>
      <c r="AC71" s="330"/>
      <c r="AD71" s="581"/>
      <c r="AE71" s="581"/>
      <c r="AF71" s="582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</row>
    <row r="72" spans="1:45" ht="26.25" customHeight="1">
      <c r="A72" s="282"/>
      <c r="B72" s="451" t="s">
        <v>187</v>
      </c>
      <c r="C72" s="519" t="s">
        <v>3</v>
      </c>
      <c r="D72" s="553">
        <v>250.95</v>
      </c>
      <c r="E72" s="375"/>
      <c r="F72" s="451" t="s">
        <v>187</v>
      </c>
      <c r="G72" s="519" t="s">
        <v>3</v>
      </c>
      <c r="H72" s="487">
        <v>250.95</v>
      </c>
      <c r="I72" s="343"/>
      <c r="J72" s="277"/>
      <c r="K72" s="277"/>
      <c r="L72" s="277">
        <v>2</v>
      </c>
      <c r="M72" s="277"/>
      <c r="N72" s="300">
        <v>2</v>
      </c>
      <c r="O72" s="424">
        <f t="shared" si="15"/>
        <v>0</v>
      </c>
      <c r="P72" s="277">
        <f t="shared" si="16"/>
        <v>0</v>
      </c>
      <c r="Q72" s="277">
        <f t="shared" si="17"/>
        <v>501.9</v>
      </c>
      <c r="R72" s="277">
        <f t="shared" si="18"/>
        <v>0</v>
      </c>
      <c r="S72" s="369">
        <f t="shared" si="19"/>
        <v>501.9</v>
      </c>
      <c r="T72" s="294"/>
      <c r="U72" s="275"/>
      <c r="V72" s="275"/>
      <c r="W72" s="275"/>
      <c r="X72" s="275"/>
      <c r="Y72" s="275">
        <v>250.95</v>
      </c>
      <c r="Z72" s="275">
        <v>501.9</v>
      </c>
      <c r="AA72" s="275">
        <f t="shared" si="20"/>
        <v>0</v>
      </c>
      <c r="AB72" s="298"/>
      <c r="AC72" s="330"/>
      <c r="AD72" s="581"/>
      <c r="AE72" s="581"/>
      <c r="AF72" s="582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</row>
    <row r="73" spans="1:45" ht="15" customHeight="1">
      <c r="A73" s="282"/>
      <c r="B73" s="451" t="s">
        <v>188</v>
      </c>
      <c r="C73" s="519" t="s">
        <v>4</v>
      </c>
      <c r="D73" s="553">
        <v>52.58</v>
      </c>
      <c r="E73" s="375"/>
      <c r="F73" s="451" t="s">
        <v>188</v>
      </c>
      <c r="G73" s="519" t="s">
        <v>4</v>
      </c>
      <c r="H73" s="487">
        <v>52.58</v>
      </c>
      <c r="I73" s="343"/>
      <c r="J73" s="277"/>
      <c r="K73" s="277"/>
      <c r="L73" s="277">
        <v>2.5</v>
      </c>
      <c r="M73" s="277"/>
      <c r="N73" s="300">
        <v>2.5</v>
      </c>
      <c r="O73" s="424">
        <f t="shared" si="15"/>
        <v>0</v>
      </c>
      <c r="P73" s="277">
        <f t="shared" si="16"/>
        <v>0</v>
      </c>
      <c r="Q73" s="277">
        <f t="shared" si="17"/>
        <v>131.45</v>
      </c>
      <c r="R73" s="277">
        <f t="shared" si="18"/>
        <v>0</v>
      </c>
      <c r="S73" s="369">
        <f t="shared" si="19"/>
        <v>131.45</v>
      </c>
      <c r="T73" s="294">
        <v>49.95</v>
      </c>
      <c r="U73" s="275"/>
      <c r="V73" s="275">
        <f>T73*L73</f>
        <v>124.875</v>
      </c>
      <c r="W73" s="275"/>
      <c r="X73" s="275">
        <v>124.88</v>
      </c>
      <c r="Y73" s="275">
        <v>0</v>
      </c>
      <c r="Z73" s="275">
        <v>0</v>
      </c>
      <c r="AA73" s="275">
        <f t="shared" si="20"/>
        <v>6.569999999999993</v>
      </c>
      <c r="AB73" s="298" t="s">
        <v>439</v>
      </c>
      <c r="AC73" s="330"/>
      <c r="AD73" s="581"/>
      <c r="AE73" s="581"/>
      <c r="AF73" s="582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</row>
    <row r="74" spans="1:45" ht="15" customHeight="1">
      <c r="A74" s="282"/>
      <c r="B74" s="451" t="s">
        <v>145</v>
      </c>
      <c r="C74" s="519" t="s">
        <v>144</v>
      </c>
      <c r="D74" s="553">
        <v>23.9</v>
      </c>
      <c r="E74" s="375"/>
      <c r="F74" s="451" t="s">
        <v>145</v>
      </c>
      <c r="G74" s="519" t="s">
        <v>144</v>
      </c>
      <c r="H74" s="487">
        <v>23.9</v>
      </c>
      <c r="I74" s="343"/>
      <c r="J74" s="277"/>
      <c r="K74" s="277"/>
      <c r="L74" s="277">
        <v>1.91</v>
      </c>
      <c r="M74" s="277"/>
      <c r="N74" s="300">
        <v>1.91</v>
      </c>
      <c r="O74" s="424">
        <f t="shared" si="15"/>
        <v>0</v>
      </c>
      <c r="P74" s="277">
        <f t="shared" si="16"/>
        <v>0</v>
      </c>
      <c r="Q74" s="277">
        <f t="shared" si="17"/>
        <v>45.648999999999994</v>
      </c>
      <c r="R74" s="277">
        <f t="shared" si="18"/>
        <v>0</v>
      </c>
      <c r="S74" s="369">
        <f t="shared" si="19"/>
        <v>45.648999999999994</v>
      </c>
      <c r="T74" s="294">
        <v>22.7</v>
      </c>
      <c r="U74" s="275"/>
      <c r="V74" s="275">
        <f>T74*L74</f>
        <v>43.357</v>
      </c>
      <c r="W74" s="275"/>
      <c r="X74" s="275">
        <f>V74</f>
        <v>43.357</v>
      </c>
      <c r="Y74" s="275">
        <v>0</v>
      </c>
      <c r="Z74" s="275">
        <v>0</v>
      </c>
      <c r="AA74" s="275">
        <f t="shared" si="20"/>
        <v>2.2919999999999945</v>
      </c>
      <c r="AB74" s="298"/>
      <c r="AC74" s="330"/>
      <c r="AD74" s="581"/>
      <c r="AE74" s="581"/>
      <c r="AF74" s="582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</row>
    <row r="75" spans="1:45" ht="15" customHeight="1">
      <c r="A75" s="282"/>
      <c r="B75" s="451" t="s">
        <v>146</v>
      </c>
      <c r="C75" s="519" t="s">
        <v>8</v>
      </c>
      <c r="D75" s="553">
        <v>717</v>
      </c>
      <c r="E75" s="375"/>
      <c r="F75" s="451" t="s">
        <v>146</v>
      </c>
      <c r="G75" s="519" t="s">
        <v>8</v>
      </c>
      <c r="H75" s="487">
        <v>717</v>
      </c>
      <c r="I75" s="343"/>
      <c r="J75" s="277"/>
      <c r="K75" s="277"/>
      <c r="L75" s="277">
        <v>0.02</v>
      </c>
      <c r="M75" s="277"/>
      <c r="N75" s="300">
        <v>0.02</v>
      </c>
      <c r="O75" s="424">
        <f t="shared" si="15"/>
        <v>0</v>
      </c>
      <c r="P75" s="277">
        <f t="shared" si="16"/>
        <v>0</v>
      </c>
      <c r="Q75" s="277">
        <f t="shared" si="17"/>
        <v>14.34</v>
      </c>
      <c r="R75" s="277">
        <f t="shared" si="18"/>
        <v>0</v>
      </c>
      <c r="S75" s="369">
        <f t="shared" si="19"/>
        <v>14.34</v>
      </c>
      <c r="T75" s="294">
        <v>681.15</v>
      </c>
      <c r="U75" s="275"/>
      <c r="V75" s="275">
        <f>T75*L75</f>
        <v>13.623</v>
      </c>
      <c r="W75" s="275"/>
      <c r="X75" s="275">
        <f>V75</f>
        <v>13.623</v>
      </c>
      <c r="Y75" s="275">
        <v>0</v>
      </c>
      <c r="Z75" s="275">
        <v>0</v>
      </c>
      <c r="AA75" s="275">
        <f t="shared" si="20"/>
        <v>0.7170000000000005</v>
      </c>
      <c r="AB75" s="299"/>
      <c r="AC75" s="330"/>
      <c r="AD75" s="581"/>
      <c r="AE75" s="581"/>
      <c r="AF75" s="582"/>
      <c r="AG75" s="266"/>
      <c r="AH75" s="266"/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266"/>
    </row>
    <row r="76" spans="1:45" ht="15" customHeight="1">
      <c r="A76" s="282"/>
      <c r="B76" s="451" t="s">
        <v>310</v>
      </c>
      <c r="C76" s="519" t="s">
        <v>4</v>
      </c>
      <c r="D76" s="553">
        <v>52.58</v>
      </c>
      <c r="E76" s="375"/>
      <c r="F76" s="450" t="s">
        <v>426</v>
      </c>
      <c r="G76" s="519" t="s">
        <v>4</v>
      </c>
      <c r="H76" s="487">
        <v>52.58</v>
      </c>
      <c r="I76" s="343"/>
      <c r="J76" s="277"/>
      <c r="K76" s="277"/>
      <c r="L76" s="352">
        <v>2.3</v>
      </c>
      <c r="M76" s="277"/>
      <c r="N76" s="300">
        <v>2.3</v>
      </c>
      <c r="O76" s="424">
        <f t="shared" si="15"/>
        <v>0</v>
      </c>
      <c r="P76" s="277">
        <f t="shared" si="16"/>
        <v>0</v>
      </c>
      <c r="Q76" s="277">
        <f t="shared" si="17"/>
        <v>120.93399999999998</v>
      </c>
      <c r="R76" s="277">
        <f t="shared" si="18"/>
        <v>0</v>
      </c>
      <c r="S76" s="369">
        <f t="shared" si="19"/>
        <v>120.93399999999998</v>
      </c>
      <c r="T76" s="294"/>
      <c r="U76" s="275"/>
      <c r="V76" s="275"/>
      <c r="W76" s="275"/>
      <c r="X76" s="275"/>
      <c r="Y76" s="275">
        <v>52.58</v>
      </c>
      <c r="Z76" s="275">
        <v>236.61</v>
      </c>
      <c r="AA76" s="275">
        <f t="shared" si="20"/>
        <v>-115.67600000000003</v>
      </c>
      <c r="AB76" s="278"/>
      <c r="AC76" s="330"/>
      <c r="AD76" s="581"/>
      <c r="AE76" s="581"/>
      <c r="AF76" s="582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</row>
    <row r="77" spans="1:45" ht="15" customHeight="1">
      <c r="A77" s="282"/>
      <c r="B77" s="451" t="s">
        <v>189</v>
      </c>
      <c r="C77" s="519" t="s">
        <v>3</v>
      </c>
      <c r="D77" s="553">
        <v>262.9</v>
      </c>
      <c r="E77" s="375"/>
      <c r="F77" s="451" t="s">
        <v>189</v>
      </c>
      <c r="G77" s="519" t="s">
        <v>3</v>
      </c>
      <c r="H77" s="487">
        <v>262.9</v>
      </c>
      <c r="I77" s="343"/>
      <c r="J77" s="277"/>
      <c r="K77" s="277"/>
      <c r="L77" s="277">
        <v>0.8</v>
      </c>
      <c r="M77" s="277"/>
      <c r="N77" s="300">
        <v>0.8</v>
      </c>
      <c r="O77" s="424">
        <f t="shared" si="15"/>
        <v>0</v>
      </c>
      <c r="P77" s="277">
        <f t="shared" si="16"/>
        <v>0</v>
      </c>
      <c r="Q77" s="277">
        <f t="shared" si="17"/>
        <v>210.32</v>
      </c>
      <c r="R77" s="277">
        <f t="shared" si="18"/>
        <v>0</v>
      </c>
      <c r="S77" s="369">
        <f t="shared" si="19"/>
        <v>210.32</v>
      </c>
      <c r="T77" s="294"/>
      <c r="U77" s="275"/>
      <c r="V77" s="275"/>
      <c r="W77" s="275"/>
      <c r="X77" s="275"/>
      <c r="Y77" s="275">
        <v>262.9</v>
      </c>
      <c r="Z77" s="275">
        <v>210.32</v>
      </c>
      <c r="AA77" s="275">
        <f t="shared" si="20"/>
        <v>0</v>
      </c>
      <c r="AB77" s="278"/>
      <c r="AC77" s="330"/>
      <c r="AD77" s="581"/>
      <c r="AE77" s="581"/>
      <c r="AF77" s="582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  <c r="AQ77" s="266"/>
      <c r="AR77" s="266"/>
      <c r="AS77" s="266"/>
    </row>
    <row r="78" spans="1:45" ht="15" customHeight="1">
      <c r="A78" s="281" t="s">
        <v>111</v>
      </c>
      <c r="B78" s="439" t="s">
        <v>193</v>
      </c>
      <c r="C78" s="518" t="s">
        <v>3</v>
      </c>
      <c r="D78" s="552">
        <v>48</v>
      </c>
      <c r="E78" s="370" t="s">
        <v>111</v>
      </c>
      <c r="F78" s="439" t="s">
        <v>193</v>
      </c>
      <c r="G78" s="518" t="s">
        <v>3</v>
      </c>
      <c r="H78" s="486">
        <v>48</v>
      </c>
      <c r="I78" s="320">
        <v>0.8181818181818181</v>
      </c>
      <c r="J78" s="277">
        <v>2.2</v>
      </c>
      <c r="K78" s="276">
        <v>1.8</v>
      </c>
      <c r="L78" s="276"/>
      <c r="M78" s="276">
        <v>0.15</v>
      </c>
      <c r="N78" s="300">
        <v>1.95</v>
      </c>
      <c r="O78" s="424">
        <f t="shared" si="15"/>
        <v>39.272727272727266</v>
      </c>
      <c r="P78" s="277">
        <f t="shared" si="16"/>
        <v>86.4</v>
      </c>
      <c r="Q78" s="277">
        <f t="shared" si="17"/>
        <v>0</v>
      </c>
      <c r="R78" s="277">
        <f t="shared" si="18"/>
        <v>7.199999999999999</v>
      </c>
      <c r="S78" s="369">
        <f t="shared" si="19"/>
        <v>93.60000000000001</v>
      </c>
      <c r="T78" s="294"/>
      <c r="U78" s="275"/>
      <c r="V78" s="275"/>
      <c r="W78" s="275"/>
      <c r="X78" s="275"/>
      <c r="Y78" s="275">
        <v>0</v>
      </c>
      <c r="Z78" s="275">
        <v>0</v>
      </c>
      <c r="AA78" s="275">
        <f t="shared" si="20"/>
        <v>93.60000000000001</v>
      </c>
      <c r="AB78" s="816" t="s">
        <v>432</v>
      </c>
      <c r="AC78" s="330"/>
      <c r="AD78" s="581"/>
      <c r="AE78" s="581"/>
      <c r="AF78" s="582"/>
      <c r="AG78" s="266"/>
      <c r="AH78" s="266"/>
      <c r="AI78" s="266"/>
      <c r="AJ78" s="266"/>
      <c r="AK78" s="266"/>
      <c r="AL78" s="266"/>
      <c r="AM78" s="266"/>
      <c r="AN78" s="266"/>
      <c r="AO78" s="266"/>
      <c r="AP78" s="266"/>
      <c r="AQ78" s="266"/>
      <c r="AR78" s="266"/>
      <c r="AS78" s="266"/>
    </row>
    <row r="79" spans="1:45" ht="15" customHeight="1">
      <c r="A79" s="281"/>
      <c r="B79" s="447" t="s">
        <v>28</v>
      </c>
      <c r="C79" s="518" t="s">
        <v>3</v>
      </c>
      <c r="D79" s="552">
        <v>49.92</v>
      </c>
      <c r="E79" s="370"/>
      <c r="F79" s="447" t="s">
        <v>28</v>
      </c>
      <c r="G79" s="518" t="s">
        <v>3</v>
      </c>
      <c r="H79" s="486">
        <v>49.92</v>
      </c>
      <c r="I79" s="343"/>
      <c r="J79" s="277"/>
      <c r="K79" s="277"/>
      <c r="L79" s="277">
        <v>2</v>
      </c>
      <c r="M79" s="277"/>
      <c r="N79" s="300">
        <v>2</v>
      </c>
      <c r="O79" s="424">
        <f t="shared" si="15"/>
        <v>0</v>
      </c>
      <c r="P79" s="277">
        <f t="shared" si="16"/>
        <v>0</v>
      </c>
      <c r="Q79" s="277">
        <f t="shared" si="17"/>
        <v>99.84</v>
      </c>
      <c r="R79" s="277">
        <f t="shared" si="18"/>
        <v>0</v>
      </c>
      <c r="S79" s="369">
        <f t="shared" si="19"/>
        <v>99.84</v>
      </c>
      <c r="T79" s="294"/>
      <c r="U79" s="275"/>
      <c r="V79" s="275"/>
      <c r="W79" s="275"/>
      <c r="X79" s="275"/>
      <c r="Y79" s="275">
        <v>0</v>
      </c>
      <c r="Z79" s="275">
        <v>0</v>
      </c>
      <c r="AA79" s="275">
        <f t="shared" si="20"/>
        <v>99.84</v>
      </c>
      <c r="AB79" s="816"/>
      <c r="AC79" s="330"/>
      <c r="AD79" s="581"/>
      <c r="AE79" s="581"/>
      <c r="AF79" s="582"/>
      <c r="AG79" s="266"/>
      <c r="AH79" s="266"/>
      <c r="AI79" s="266"/>
      <c r="AJ79" s="266"/>
      <c r="AK79" s="266"/>
      <c r="AL79" s="266"/>
      <c r="AM79" s="266"/>
      <c r="AN79" s="266"/>
      <c r="AO79" s="266"/>
      <c r="AP79" s="266"/>
      <c r="AQ79" s="266"/>
      <c r="AR79" s="266"/>
      <c r="AS79" s="266"/>
    </row>
    <row r="80" spans="1:45" ht="15" customHeight="1">
      <c r="A80" s="281"/>
      <c r="B80" s="449" t="s">
        <v>146</v>
      </c>
      <c r="C80" s="518" t="s">
        <v>8</v>
      </c>
      <c r="D80" s="552">
        <v>144</v>
      </c>
      <c r="E80" s="370"/>
      <c r="F80" s="449" t="s">
        <v>146</v>
      </c>
      <c r="G80" s="518" t="s">
        <v>8</v>
      </c>
      <c r="H80" s="486">
        <v>144</v>
      </c>
      <c r="I80" s="343"/>
      <c r="J80" s="277"/>
      <c r="K80" s="277"/>
      <c r="L80" s="277">
        <v>0.01</v>
      </c>
      <c r="M80" s="277"/>
      <c r="N80" s="300">
        <v>0.01</v>
      </c>
      <c r="O80" s="424">
        <f t="shared" si="15"/>
        <v>0</v>
      </c>
      <c r="P80" s="277">
        <f t="shared" si="16"/>
        <v>0</v>
      </c>
      <c r="Q80" s="277">
        <f t="shared" si="17"/>
        <v>1.44</v>
      </c>
      <c r="R80" s="277">
        <f t="shared" si="18"/>
        <v>0</v>
      </c>
      <c r="S80" s="369">
        <f t="shared" si="19"/>
        <v>1.44</v>
      </c>
      <c r="T80" s="294"/>
      <c r="U80" s="275"/>
      <c r="V80" s="275"/>
      <c r="W80" s="275"/>
      <c r="X80" s="275"/>
      <c r="Y80" s="275">
        <v>0</v>
      </c>
      <c r="Z80" s="275">
        <v>0</v>
      </c>
      <c r="AA80" s="275">
        <f t="shared" si="20"/>
        <v>1.44</v>
      </c>
      <c r="AB80" s="816"/>
      <c r="AC80" s="330"/>
      <c r="AD80" s="581"/>
      <c r="AE80" s="581"/>
      <c r="AF80" s="582"/>
      <c r="AG80" s="266"/>
      <c r="AH80" s="266"/>
      <c r="AI80" s="266"/>
      <c r="AJ80" s="266"/>
      <c r="AK80" s="266"/>
      <c r="AL80" s="266"/>
      <c r="AM80" s="266"/>
      <c r="AN80" s="266"/>
      <c r="AO80" s="266"/>
      <c r="AP80" s="266"/>
      <c r="AQ80" s="266"/>
      <c r="AR80" s="266"/>
      <c r="AS80" s="266"/>
    </row>
    <row r="81" spans="1:45" ht="27" customHeight="1">
      <c r="A81" s="281" t="s">
        <v>113</v>
      </c>
      <c r="B81" s="437" t="s">
        <v>194</v>
      </c>
      <c r="C81" s="519" t="s">
        <v>4</v>
      </c>
      <c r="D81" s="553">
        <v>27</v>
      </c>
      <c r="E81" s="370" t="s">
        <v>113</v>
      </c>
      <c r="F81" s="437" t="s">
        <v>194</v>
      </c>
      <c r="G81" s="519" t="s">
        <v>4</v>
      </c>
      <c r="H81" s="489">
        <v>80.16</v>
      </c>
      <c r="I81" s="320">
        <v>0.45454545454545453</v>
      </c>
      <c r="J81" s="277">
        <v>2.2</v>
      </c>
      <c r="K81" s="276">
        <v>1</v>
      </c>
      <c r="L81" s="276"/>
      <c r="M81" s="276">
        <v>0.15</v>
      </c>
      <c r="N81" s="300">
        <v>1.15</v>
      </c>
      <c r="O81" s="424">
        <f t="shared" si="15"/>
        <v>36.43636363636363</v>
      </c>
      <c r="P81" s="277">
        <f t="shared" si="16"/>
        <v>80.16</v>
      </c>
      <c r="Q81" s="277">
        <f t="shared" si="17"/>
        <v>0</v>
      </c>
      <c r="R81" s="277">
        <f t="shared" si="18"/>
        <v>12.024</v>
      </c>
      <c r="S81" s="369">
        <f t="shared" si="19"/>
        <v>92.184</v>
      </c>
      <c r="T81" s="413"/>
      <c r="U81" s="275"/>
      <c r="V81" s="275"/>
      <c r="W81" s="275"/>
      <c r="X81" s="280"/>
      <c r="Y81" s="275">
        <v>24.3</v>
      </c>
      <c r="Z81" s="275">
        <v>27.945</v>
      </c>
      <c r="AA81" s="275">
        <f t="shared" si="20"/>
        <v>64.239</v>
      </c>
      <c r="AB81" s="829" t="s">
        <v>432</v>
      </c>
      <c r="AC81" s="330"/>
      <c r="AD81" s="581"/>
      <c r="AE81" s="581"/>
      <c r="AF81" s="582"/>
      <c r="AG81" s="266"/>
      <c r="AH81" s="266"/>
      <c r="AI81" s="266"/>
      <c r="AJ81" s="266"/>
      <c r="AK81" s="266"/>
      <c r="AL81" s="266"/>
      <c r="AM81" s="266"/>
      <c r="AN81" s="266"/>
      <c r="AO81" s="266"/>
      <c r="AP81" s="266"/>
      <c r="AQ81" s="266"/>
      <c r="AR81" s="266"/>
      <c r="AS81" s="266"/>
    </row>
    <row r="82" spans="1:45" ht="15" customHeight="1">
      <c r="A82" s="281"/>
      <c r="B82" s="447" t="s">
        <v>195</v>
      </c>
      <c r="C82" s="518" t="s">
        <v>25</v>
      </c>
      <c r="D82" s="552">
        <v>6.75</v>
      </c>
      <c r="E82" s="370"/>
      <c r="F82" s="447" t="s">
        <v>195</v>
      </c>
      <c r="G82" s="518" t="s">
        <v>25</v>
      </c>
      <c r="H82" s="490">
        <f>D82/27*H81</f>
        <v>20.04</v>
      </c>
      <c r="I82" s="320"/>
      <c r="J82" s="276"/>
      <c r="K82" s="276"/>
      <c r="L82" s="276">
        <v>1.2</v>
      </c>
      <c r="M82" s="276"/>
      <c r="N82" s="300">
        <v>1.2</v>
      </c>
      <c r="O82" s="424">
        <f t="shared" si="15"/>
        <v>0</v>
      </c>
      <c r="P82" s="277">
        <f t="shared" si="16"/>
        <v>0</v>
      </c>
      <c r="Q82" s="277">
        <f t="shared" si="17"/>
        <v>24.048</v>
      </c>
      <c r="R82" s="277">
        <f t="shared" si="18"/>
        <v>0</v>
      </c>
      <c r="S82" s="369">
        <f t="shared" si="19"/>
        <v>24.048</v>
      </c>
      <c r="T82" s="413">
        <v>0</v>
      </c>
      <c r="U82" s="275">
        <f>ROUND(T82*K82,2)</f>
        <v>0</v>
      </c>
      <c r="V82" s="275">
        <f>ROUND(T82*L82,2)</f>
        <v>0</v>
      </c>
      <c r="W82" s="275">
        <f>T82*M82</f>
        <v>0</v>
      </c>
      <c r="X82" s="280">
        <f>U82+V82+W82</f>
        <v>0</v>
      </c>
      <c r="Y82" s="275">
        <v>6.08</v>
      </c>
      <c r="Z82" s="275">
        <v>7.3</v>
      </c>
      <c r="AA82" s="275">
        <f t="shared" si="20"/>
        <v>16.747999999999998</v>
      </c>
      <c r="AB82" s="823"/>
      <c r="AC82" s="330"/>
      <c r="AD82" s="581"/>
      <c r="AE82" s="581"/>
      <c r="AF82" s="582"/>
      <c r="AG82" s="266"/>
      <c r="AH82" s="266"/>
      <c r="AI82" s="266"/>
      <c r="AJ82" s="266"/>
      <c r="AK82" s="266"/>
      <c r="AL82" s="266"/>
      <c r="AM82" s="266"/>
      <c r="AN82" s="266"/>
      <c r="AO82" s="266"/>
      <c r="AP82" s="266"/>
      <c r="AQ82" s="266"/>
      <c r="AR82" s="266"/>
      <c r="AS82" s="266"/>
    </row>
    <row r="83" spans="1:45" ht="15" customHeight="1">
      <c r="A83" s="281"/>
      <c r="B83" s="447" t="s">
        <v>196</v>
      </c>
      <c r="C83" s="518" t="s">
        <v>18</v>
      </c>
      <c r="D83" s="552">
        <v>10.8</v>
      </c>
      <c r="E83" s="370"/>
      <c r="F83" s="447" t="s">
        <v>196</v>
      </c>
      <c r="G83" s="518" t="s">
        <v>18</v>
      </c>
      <c r="H83" s="490">
        <f>10.8/27*H81</f>
        <v>32.064</v>
      </c>
      <c r="I83" s="320"/>
      <c r="J83" s="276"/>
      <c r="K83" s="276"/>
      <c r="L83" s="276">
        <v>1.85</v>
      </c>
      <c r="M83" s="276"/>
      <c r="N83" s="300">
        <v>1.85</v>
      </c>
      <c r="O83" s="424">
        <f t="shared" si="15"/>
        <v>0</v>
      </c>
      <c r="P83" s="277">
        <f t="shared" si="16"/>
        <v>0</v>
      </c>
      <c r="Q83" s="277">
        <f t="shared" si="17"/>
        <v>59.318400000000004</v>
      </c>
      <c r="R83" s="277">
        <f t="shared" si="18"/>
        <v>0</v>
      </c>
      <c r="S83" s="369">
        <f t="shared" si="19"/>
        <v>59.318400000000004</v>
      </c>
      <c r="T83" s="413">
        <v>0</v>
      </c>
      <c r="U83" s="275">
        <f>ROUND(T83*K83,2)</f>
        <v>0</v>
      </c>
      <c r="V83" s="275">
        <f>ROUND(T83*L83,2)</f>
        <v>0</v>
      </c>
      <c r="W83" s="275">
        <f>T83*M83</f>
        <v>0</v>
      </c>
      <c r="X83" s="280">
        <f>U83+V83+W83</f>
        <v>0</v>
      </c>
      <c r="Y83" s="275">
        <v>9.72</v>
      </c>
      <c r="Z83" s="275">
        <v>17.98</v>
      </c>
      <c r="AA83" s="275">
        <f t="shared" si="20"/>
        <v>41.33840000000001</v>
      </c>
      <c r="AB83" s="823"/>
      <c r="AC83" s="330"/>
      <c r="AD83" s="581"/>
      <c r="AE83" s="581"/>
      <c r="AF83" s="582"/>
      <c r="AG83" s="266"/>
      <c r="AH83" s="266"/>
      <c r="AI83" s="266"/>
      <c r="AJ83" s="266"/>
      <c r="AK83" s="266"/>
      <c r="AL83" s="266"/>
      <c r="AM83" s="266"/>
      <c r="AN83" s="266"/>
      <c r="AO83" s="266"/>
      <c r="AP83" s="266"/>
      <c r="AQ83" s="266"/>
      <c r="AR83" s="266"/>
      <c r="AS83" s="266"/>
    </row>
    <row r="84" spans="1:45" ht="15" customHeight="1">
      <c r="A84" s="281"/>
      <c r="B84" s="447" t="s">
        <v>197</v>
      </c>
      <c r="C84" s="518" t="s">
        <v>18</v>
      </c>
      <c r="D84" s="552">
        <v>13.5</v>
      </c>
      <c r="E84" s="370"/>
      <c r="F84" s="447" t="s">
        <v>197</v>
      </c>
      <c r="G84" s="518" t="s">
        <v>18</v>
      </c>
      <c r="H84" s="490">
        <f>13.5/27*H81</f>
        <v>40.08</v>
      </c>
      <c r="I84" s="320"/>
      <c r="J84" s="276"/>
      <c r="K84" s="276"/>
      <c r="L84" s="276">
        <v>3</v>
      </c>
      <c r="M84" s="276"/>
      <c r="N84" s="300">
        <v>3</v>
      </c>
      <c r="O84" s="424">
        <f t="shared" si="15"/>
        <v>0</v>
      </c>
      <c r="P84" s="277">
        <f t="shared" si="16"/>
        <v>0</v>
      </c>
      <c r="Q84" s="277">
        <f t="shared" si="17"/>
        <v>120.24</v>
      </c>
      <c r="R84" s="277">
        <f t="shared" si="18"/>
        <v>0</v>
      </c>
      <c r="S84" s="369">
        <f t="shared" si="19"/>
        <v>120.24</v>
      </c>
      <c r="T84" s="294"/>
      <c r="U84" s="275"/>
      <c r="V84" s="275"/>
      <c r="W84" s="275"/>
      <c r="X84" s="275"/>
      <c r="Y84" s="275">
        <v>0</v>
      </c>
      <c r="Z84" s="275">
        <v>0</v>
      </c>
      <c r="AA84" s="275">
        <f t="shared" si="20"/>
        <v>120.24</v>
      </c>
      <c r="AB84" s="823"/>
      <c r="AC84" s="330"/>
      <c r="AD84" s="581"/>
      <c r="AE84" s="581"/>
      <c r="AF84" s="582"/>
      <c r="AG84" s="266"/>
      <c r="AH84" s="266"/>
      <c r="AI84" s="266"/>
      <c r="AJ84" s="266"/>
      <c r="AK84" s="266"/>
      <c r="AL84" s="266"/>
      <c r="AM84" s="266"/>
      <c r="AN84" s="266"/>
      <c r="AO84" s="266"/>
      <c r="AP84" s="266"/>
      <c r="AQ84" s="266"/>
      <c r="AR84" s="266"/>
      <c r="AS84" s="266"/>
    </row>
    <row r="85" spans="1:45" ht="15" customHeight="1">
      <c r="A85" s="281"/>
      <c r="B85" s="447" t="s">
        <v>198</v>
      </c>
      <c r="C85" s="518" t="s">
        <v>138</v>
      </c>
      <c r="D85" s="552">
        <v>1</v>
      </c>
      <c r="E85" s="370"/>
      <c r="F85" s="447" t="s">
        <v>198</v>
      </c>
      <c r="G85" s="518" t="s">
        <v>138</v>
      </c>
      <c r="H85" s="486">
        <v>1</v>
      </c>
      <c r="I85" s="320"/>
      <c r="J85" s="276"/>
      <c r="K85" s="276"/>
      <c r="L85" s="276">
        <v>10</v>
      </c>
      <c r="M85" s="276"/>
      <c r="N85" s="300">
        <v>10</v>
      </c>
      <c r="O85" s="424">
        <f t="shared" si="15"/>
        <v>0</v>
      </c>
      <c r="P85" s="277">
        <f t="shared" si="16"/>
        <v>0</v>
      </c>
      <c r="Q85" s="277">
        <f t="shared" si="17"/>
        <v>10</v>
      </c>
      <c r="R85" s="277">
        <f t="shared" si="18"/>
        <v>0</v>
      </c>
      <c r="S85" s="369">
        <f t="shared" si="19"/>
        <v>10</v>
      </c>
      <c r="T85" s="413">
        <v>0</v>
      </c>
      <c r="U85" s="275">
        <f>ROUND(T85*K85,2)</f>
        <v>0</v>
      </c>
      <c r="V85" s="275">
        <f>ROUND(T85*L85,2)</f>
        <v>0</v>
      </c>
      <c r="W85" s="275">
        <f>T85*M85</f>
        <v>0</v>
      </c>
      <c r="X85" s="280">
        <f>U85+V85+W85</f>
        <v>0</v>
      </c>
      <c r="Y85" s="275">
        <v>0.9</v>
      </c>
      <c r="Z85" s="275">
        <v>9</v>
      </c>
      <c r="AA85" s="275">
        <f t="shared" si="20"/>
        <v>1</v>
      </c>
      <c r="AB85" s="824"/>
      <c r="AC85" s="330"/>
      <c r="AD85" s="581"/>
      <c r="AE85" s="581"/>
      <c r="AF85" s="582"/>
      <c r="AG85" s="266"/>
      <c r="AH85" s="266"/>
      <c r="AI85" s="266"/>
      <c r="AJ85" s="266"/>
      <c r="AK85" s="266"/>
      <c r="AL85" s="266"/>
      <c r="AM85" s="266"/>
      <c r="AN85" s="266"/>
      <c r="AO85" s="266"/>
      <c r="AP85" s="266"/>
      <c r="AQ85" s="266"/>
      <c r="AR85" s="266"/>
      <c r="AS85" s="266"/>
    </row>
    <row r="86" spans="1:45" ht="15" customHeight="1">
      <c r="A86" s="281" t="s">
        <v>147</v>
      </c>
      <c r="B86" s="439" t="s">
        <v>199</v>
      </c>
      <c r="C86" s="518" t="s">
        <v>6</v>
      </c>
      <c r="D86" s="552">
        <v>1.7328000000000001</v>
      </c>
      <c r="E86" s="370" t="s">
        <v>147</v>
      </c>
      <c r="F86" s="439" t="s">
        <v>199</v>
      </c>
      <c r="G86" s="518" t="s">
        <v>6</v>
      </c>
      <c r="H86" s="486">
        <v>1.7328000000000001</v>
      </c>
      <c r="I86" s="320">
        <v>18.18181818181818</v>
      </c>
      <c r="J86" s="277">
        <v>2.2</v>
      </c>
      <c r="K86" s="276">
        <v>40</v>
      </c>
      <c r="L86" s="277"/>
      <c r="M86" s="277">
        <v>5</v>
      </c>
      <c r="N86" s="300">
        <v>45</v>
      </c>
      <c r="O86" s="424">
        <f t="shared" si="15"/>
        <v>31.505454545454544</v>
      </c>
      <c r="P86" s="277">
        <f t="shared" si="16"/>
        <v>69.31200000000001</v>
      </c>
      <c r="Q86" s="277">
        <f t="shared" si="17"/>
        <v>0</v>
      </c>
      <c r="R86" s="277">
        <f t="shared" si="18"/>
        <v>8.664000000000001</v>
      </c>
      <c r="S86" s="369">
        <f t="shared" si="19"/>
        <v>77.97600000000001</v>
      </c>
      <c r="T86" s="413">
        <v>1.64</v>
      </c>
      <c r="U86" s="275">
        <f>ROUND(T86*K86,2)</f>
        <v>65.6</v>
      </c>
      <c r="V86" s="275">
        <f>ROUND(T86*L86,2)</f>
        <v>0</v>
      </c>
      <c r="W86" s="275">
        <f>T86*M86</f>
        <v>8.2</v>
      </c>
      <c r="X86" s="280">
        <f>U86+V86+W86</f>
        <v>73.8</v>
      </c>
      <c r="Y86" s="275">
        <v>0</v>
      </c>
      <c r="Z86" s="275">
        <v>0</v>
      </c>
      <c r="AA86" s="275">
        <f t="shared" si="20"/>
        <v>4.176000000000016</v>
      </c>
      <c r="AB86" s="816" t="s">
        <v>432</v>
      </c>
      <c r="AC86" s="330"/>
      <c r="AD86" s="581"/>
      <c r="AE86" s="581"/>
      <c r="AF86" s="582"/>
      <c r="AG86" s="266"/>
      <c r="AH86" s="266"/>
      <c r="AI86" s="266"/>
      <c r="AJ86" s="266"/>
      <c r="AK86" s="266"/>
      <c r="AL86" s="266"/>
      <c r="AM86" s="266"/>
      <c r="AN86" s="266"/>
      <c r="AO86" s="266"/>
      <c r="AP86" s="266"/>
      <c r="AQ86" s="266"/>
      <c r="AR86" s="266"/>
      <c r="AS86" s="266"/>
    </row>
    <row r="87" spans="1:45" ht="15" customHeight="1">
      <c r="A87" s="281"/>
      <c r="B87" s="447" t="s">
        <v>311</v>
      </c>
      <c r="C87" s="518" t="s">
        <v>6</v>
      </c>
      <c r="D87" s="552">
        <v>1.9060800000000002</v>
      </c>
      <c r="E87" s="370"/>
      <c r="F87" s="447" t="s">
        <v>311</v>
      </c>
      <c r="G87" s="518" t="s">
        <v>6</v>
      </c>
      <c r="H87" s="486">
        <v>1.9060800000000002</v>
      </c>
      <c r="I87" s="343"/>
      <c r="J87" s="277"/>
      <c r="K87" s="277"/>
      <c r="L87" s="277">
        <v>120</v>
      </c>
      <c r="M87" s="277"/>
      <c r="N87" s="300">
        <v>120</v>
      </c>
      <c r="O87" s="424">
        <f t="shared" si="15"/>
        <v>0</v>
      </c>
      <c r="P87" s="277">
        <f t="shared" si="16"/>
        <v>0</v>
      </c>
      <c r="Q87" s="277">
        <f t="shared" si="17"/>
        <v>228.72960000000003</v>
      </c>
      <c r="R87" s="277">
        <f t="shared" si="18"/>
        <v>0</v>
      </c>
      <c r="S87" s="369">
        <f t="shared" si="19"/>
        <v>228.72960000000003</v>
      </c>
      <c r="T87" s="413">
        <v>1.81</v>
      </c>
      <c r="U87" s="275">
        <f>ROUND(T87*K87,2)</f>
        <v>0</v>
      </c>
      <c r="V87" s="275">
        <f>ROUND(T87*L87,2)</f>
        <v>217.2</v>
      </c>
      <c r="W87" s="275">
        <f>T87*M87</f>
        <v>0</v>
      </c>
      <c r="X87" s="280">
        <f>U87+V87+W87</f>
        <v>217.2</v>
      </c>
      <c r="Y87" s="275">
        <v>0</v>
      </c>
      <c r="Z87" s="275">
        <v>0</v>
      </c>
      <c r="AA87" s="275">
        <f t="shared" si="20"/>
        <v>11.529600000000045</v>
      </c>
      <c r="AB87" s="816"/>
      <c r="AC87" s="330"/>
      <c r="AD87" s="581"/>
      <c r="AE87" s="581"/>
      <c r="AF87" s="582"/>
      <c r="AG87" s="266"/>
      <c r="AH87" s="266"/>
      <c r="AI87" s="266"/>
      <c r="AJ87" s="266"/>
      <c r="AK87" s="266"/>
      <c r="AL87" s="266"/>
      <c r="AM87" s="266"/>
      <c r="AN87" s="266"/>
      <c r="AO87" s="266"/>
      <c r="AP87" s="266"/>
      <c r="AQ87" s="266"/>
      <c r="AR87" s="266"/>
      <c r="AS87" s="266"/>
    </row>
    <row r="88" spans="1:45" ht="15" customHeight="1">
      <c r="A88" s="281"/>
      <c r="B88" s="447" t="s">
        <v>146</v>
      </c>
      <c r="C88" s="518" t="s">
        <v>8</v>
      </c>
      <c r="D88" s="552">
        <v>1908</v>
      </c>
      <c r="E88" s="370"/>
      <c r="F88" s="447" t="s">
        <v>146</v>
      </c>
      <c r="G88" s="518" t="s">
        <v>8</v>
      </c>
      <c r="H88" s="486">
        <v>1908</v>
      </c>
      <c r="I88" s="343"/>
      <c r="J88" s="277"/>
      <c r="K88" s="277"/>
      <c r="L88" s="277">
        <v>0.1</v>
      </c>
      <c r="M88" s="277"/>
      <c r="N88" s="300">
        <v>0.1</v>
      </c>
      <c r="O88" s="424">
        <f t="shared" si="15"/>
        <v>0</v>
      </c>
      <c r="P88" s="277">
        <f t="shared" si="16"/>
        <v>0</v>
      </c>
      <c r="Q88" s="277">
        <f t="shared" si="17"/>
        <v>190.8</v>
      </c>
      <c r="R88" s="277">
        <f t="shared" si="18"/>
        <v>0</v>
      </c>
      <c r="S88" s="369">
        <f t="shared" si="19"/>
        <v>190.8</v>
      </c>
      <c r="T88" s="413">
        <v>1814</v>
      </c>
      <c r="U88" s="275">
        <f>ROUND(T88*K88,2)</f>
        <v>0</v>
      </c>
      <c r="V88" s="275">
        <f>ROUND(T88*L88,2)</f>
        <v>181.4</v>
      </c>
      <c r="W88" s="275">
        <f>T88*M88</f>
        <v>0</v>
      </c>
      <c r="X88" s="280">
        <f>U88+V88+W88</f>
        <v>181.4</v>
      </c>
      <c r="Y88" s="275">
        <v>0</v>
      </c>
      <c r="Z88" s="275">
        <v>0</v>
      </c>
      <c r="AA88" s="275">
        <f t="shared" si="20"/>
        <v>9.400000000000006</v>
      </c>
      <c r="AB88" s="816"/>
      <c r="AC88" s="330"/>
      <c r="AD88" s="581"/>
      <c r="AE88" s="581"/>
      <c r="AF88" s="582"/>
      <c r="AG88" s="266"/>
      <c r="AH88" s="266"/>
      <c r="AI88" s="266"/>
      <c r="AJ88" s="266"/>
      <c r="AK88" s="266"/>
      <c r="AL88" s="266"/>
      <c r="AM88" s="266"/>
      <c r="AN88" s="266"/>
      <c r="AO88" s="266"/>
      <c r="AP88" s="266"/>
      <c r="AQ88" s="266"/>
      <c r="AR88" s="266"/>
      <c r="AS88" s="266"/>
    </row>
    <row r="89" spans="1:45" ht="15" customHeight="1">
      <c r="A89" s="281"/>
      <c r="B89" s="447" t="s">
        <v>177</v>
      </c>
      <c r="C89" s="518" t="s">
        <v>138</v>
      </c>
      <c r="D89" s="552">
        <v>1</v>
      </c>
      <c r="E89" s="370"/>
      <c r="F89" s="447" t="s">
        <v>177</v>
      </c>
      <c r="G89" s="518" t="s">
        <v>138</v>
      </c>
      <c r="H89" s="486">
        <v>1</v>
      </c>
      <c r="I89" s="343"/>
      <c r="J89" s="277"/>
      <c r="K89" s="277"/>
      <c r="L89" s="277">
        <v>50</v>
      </c>
      <c r="M89" s="277"/>
      <c r="N89" s="300">
        <v>50</v>
      </c>
      <c r="O89" s="424">
        <f t="shared" si="15"/>
        <v>0</v>
      </c>
      <c r="P89" s="277">
        <f t="shared" si="16"/>
        <v>0</v>
      </c>
      <c r="Q89" s="277">
        <f t="shared" si="17"/>
        <v>50</v>
      </c>
      <c r="R89" s="277">
        <f t="shared" si="18"/>
        <v>0</v>
      </c>
      <c r="S89" s="369">
        <f t="shared" si="19"/>
        <v>50</v>
      </c>
      <c r="T89" s="413">
        <v>0.95</v>
      </c>
      <c r="U89" s="275">
        <f>ROUND(T89*K89,2)</f>
        <v>0</v>
      </c>
      <c r="V89" s="275">
        <f>ROUND(T89*L89,2)</f>
        <v>47.5</v>
      </c>
      <c r="W89" s="275">
        <f>T89*M89</f>
        <v>0</v>
      </c>
      <c r="X89" s="280">
        <f>U89+V89+W89</f>
        <v>47.5</v>
      </c>
      <c r="Y89" s="275">
        <v>0</v>
      </c>
      <c r="Z89" s="275">
        <v>0</v>
      </c>
      <c r="AA89" s="275">
        <f t="shared" si="20"/>
        <v>2.5</v>
      </c>
      <c r="AB89" s="816"/>
      <c r="AC89" s="330"/>
      <c r="AD89" s="581"/>
      <c r="AE89" s="581"/>
      <c r="AF89" s="582"/>
      <c r="AG89" s="266"/>
      <c r="AH89" s="266"/>
      <c r="AI89" s="266"/>
      <c r="AJ89" s="266"/>
      <c r="AK89" s="266"/>
      <c r="AL89" s="266"/>
      <c r="AM89" s="266"/>
      <c r="AN89" s="266"/>
      <c r="AO89" s="266"/>
      <c r="AP89" s="266"/>
      <c r="AQ89" s="266"/>
      <c r="AR89" s="266"/>
      <c r="AS89" s="266"/>
    </row>
    <row r="90" spans="1:45" ht="15" customHeight="1">
      <c r="A90" s="281" t="s">
        <v>148</v>
      </c>
      <c r="B90" s="439" t="s">
        <v>200</v>
      </c>
      <c r="C90" s="518" t="s">
        <v>4</v>
      </c>
      <c r="D90" s="552">
        <v>159</v>
      </c>
      <c r="E90" s="370" t="s">
        <v>148</v>
      </c>
      <c r="F90" s="439" t="s">
        <v>200</v>
      </c>
      <c r="G90" s="518" t="s">
        <v>4</v>
      </c>
      <c r="H90" s="490">
        <v>169.44</v>
      </c>
      <c r="I90" s="320">
        <v>1.1363636363636362</v>
      </c>
      <c r="J90" s="277">
        <v>2.2</v>
      </c>
      <c r="K90" s="276">
        <v>2.5</v>
      </c>
      <c r="L90" s="276"/>
      <c r="M90" s="276">
        <v>0.3</v>
      </c>
      <c r="N90" s="300">
        <v>2.8</v>
      </c>
      <c r="O90" s="424">
        <f t="shared" si="15"/>
        <v>192.54545454545453</v>
      </c>
      <c r="P90" s="277">
        <f t="shared" si="16"/>
        <v>423.6</v>
      </c>
      <c r="Q90" s="277">
        <f t="shared" si="17"/>
        <v>0</v>
      </c>
      <c r="R90" s="277">
        <f t="shared" si="18"/>
        <v>50.832</v>
      </c>
      <c r="S90" s="369">
        <f t="shared" si="19"/>
        <v>474.432</v>
      </c>
      <c r="T90" s="294"/>
      <c r="U90" s="275"/>
      <c r="V90" s="275"/>
      <c r="W90" s="275"/>
      <c r="X90" s="280"/>
      <c r="Y90" s="275">
        <v>0</v>
      </c>
      <c r="Z90" s="275">
        <v>0</v>
      </c>
      <c r="AA90" s="275">
        <f t="shared" si="20"/>
        <v>474.432</v>
      </c>
      <c r="AB90" s="816" t="s">
        <v>432</v>
      </c>
      <c r="AC90" s="584"/>
      <c r="AD90" s="330"/>
      <c r="AE90" s="581"/>
      <c r="AF90" s="582"/>
      <c r="AG90" s="266"/>
      <c r="AH90" s="266"/>
      <c r="AI90" s="266"/>
      <c r="AJ90" s="266"/>
      <c r="AK90" s="266"/>
      <c r="AL90" s="266"/>
      <c r="AM90" s="266"/>
      <c r="AN90" s="266"/>
      <c r="AO90" s="266"/>
      <c r="AP90" s="266"/>
      <c r="AQ90" s="266"/>
      <c r="AR90" s="266"/>
      <c r="AS90" s="266"/>
    </row>
    <row r="91" spans="1:45" ht="29.25" customHeight="1">
      <c r="A91" s="281"/>
      <c r="B91" s="449" t="s">
        <v>201</v>
      </c>
      <c r="C91" s="518" t="s">
        <v>4</v>
      </c>
      <c r="D91" s="552">
        <v>171.72</v>
      </c>
      <c r="E91" s="370"/>
      <c r="F91" s="449" t="s">
        <v>201</v>
      </c>
      <c r="G91" s="518" t="s">
        <v>4</v>
      </c>
      <c r="H91" s="490">
        <v>183</v>
      </c>
      <c r="I91" s="320"/>
      <c r="J91" s="276"/>
      <c r="K91" s="276"/>
      <c r="L91" s="276">
        <v>3.65</v>
      </c>
      <c r="M91" s="276"/>
      <c r="N91" s="300">
        <v>3.65</v>
      </c>
      <c r="O91" s="424">
        <f t="shared" si="15"/>
        <v>0</v>
      </c>
      <c r="P91" s="277">
        <f t="shared" si="16"/>
        <v>0</v>
      </c>
      <c r="Q91" s="277">
        <f t="shared" si="17"/>
        <v>667.9499999999999</v>
      </c>
      <c r="R91" s="277">
        <f t="shared" si="18"/>
        <v>0</v>
      </c>
      <c r="S91" s="369">
        <f t="shared" si="19"/>
        <v>667.9499999999999</v>
      </c>
      <c r="T91" s="294"/>
      <c r="U91" s="275"/>
      <c r="V91" s="275"/>
      <c r="W91" s="275"/>
      <c r="X91" s="275"/>
      <c r="Y91" s="275">
        <v>171.72</v>
      </c>
      <c r="Z91" s="275">
        <v>626.78</v>
      </c>
      <c r="AA91" s="275">
        <f t="shared" si="20"/>
        <v>41.16999999999996</v>
      </c>
      <c r="AB91" s="816"/>
      <c r="AC91" s="330"/>
      <c r="AD91" s="330"/>
      <c r="AE91" s="581"/>
      <c r="AF91" s="582"/>
      <c r="AG91" s="266"/>
      <c r="AH91" s="266"/>
      <c r="AI91" s="266"/>
      <c r="AJ91" s="266"/>
      <c r="AK91" s="266"/>
      <c r="AL91" s="266"/>
      <c r="AM91" s="266"/>
      <c r="AN91" s="266"/>
      <c r="AO91" s="266"/>
      <c r="AP91" s="266"/>
      <c r="AQ91" s="266"/>
      <c r="AR91" s="266"/>
      <c r="AS91" s="266"/>
    </row>
    <row r="92" spans="1:45" ht="15" customHeight="1">
      <c r="A92" s="281"/>
      <c r="B92" s="447" t="s">
        <v>146</v>
      </c>
      <c r="C92" s="518" t="s">
        <v>8</v>
      </c>
      <c r="D92" s="552">
        <v>2060.64</v>
      </c>
      <c r="E92" s="370"/>
      <c r="F92" s="447" t="s">
        <v>146</v>
      </c>
      <c r="G92" s="518" t="s">
        <v>8</v>
      </c>
      <c r="H92" s="490">
        <v>2196</v>
      </c>
      <c r="I92" s="320"/>
      <c r="J92" s="276"/>
      <c r="K92" s="276"/>
      <c r="L92" s="276">
        <v>0.02</v>
      </c>
      <c r="M92" s="276"/>
      <c r="N92" s="300">
        <v>0.02</v>
      </c>
      <c r="O92" s="424">
        <f t="shared" si="15"/>
        <v>0</v>
      </c>
      <c r="P92" s="277">
        <f t="shared" si="16"/>
        <v>0</v>
      </c>
      <c r="Q92" s="277">
        <f t="shared" si="17"/>
        <v>43.92</v>
      </c>
      <c r="R92" s="277">
        <f t="shared" si="18"/>
        <v>0</v>
      </c>
      <c r="S92" s="369">
        <f t="shared" si="19"/>
        <v>43.92</v>
      </c>
      <c r="T92" s="294"/>
      <c r="U92" s="275"/>
      <c r="V92" s="275"/>
      <c r="W92" s="275"/>
      <c r="X92" s="275"/>
      <c r="Y92" s="275">
        <v>0</v>
      </c>
      <c r="Z92" s="275">
        <v>0</v>
      </c>
      <c r="AA92" s="275">
        <f t="shared" si="20"/>
        <v>43.92</v>
      </c>
      <c r="AB92" s="816"/>
      <c r="AC92" s="330"/>
      <c r="AD92" s="330"/>
      <c r="AE92" s="581"/>
      <c r="AF92" s="582"/>
      <c r="AG92" s="266"/>
      <c r="AH92" s="266"/>
      <c r="AI92" s="266"/>
      <c r="AJ92" s="266"/>
      <c r="AK92" s="266"/>
      <c r="AL92" s="266"/>
      <c r="AM92" s="266"/>
      <c r="AN92" s="266"/>
      <c r="AO92" s="266"/>
      <c r="AP92" s="266"/>
      <c r="AQ92" s="266"/>
      <c r="AR92" s="266"/>
      <c r="AS92" s="266"/>
    </row>
    <row r="93" spans="1:45" ht="15" customHeight="1">
      <c r="A93" s="281"/>
      <c r="B93" s="447" t="s">
        <v>152</v>
      </c>
      <c r="C93" s="518" t="s">
        <v>4</v>
      </c>
      <c r="D93" s="552">
        <v>159</v>
      </c>
      <c r="E93" s="370"/>
      <c r="F93" s="447" t="s">
        <v>152</v>
      </c>
      <c r="G93" s="518" t="s">
        <v>4</v>
      </c>
      <c r="H93" s="490">
        <v>169.44</v>
      </c>
      <c r="I93" s="320"/>
      <c r="J93" s="276"/>
      <c r="K93" s="276"/>
      <c r="L93" s="276">
        <v>0.5</v>
      </c>
      <c r="M93" s="276"/>
      <c r="N93" s="300">
        <v>0.5</v>
      </c>
      <c r="O93" s="424">
        <f t="shared" si="15"/>
        <v>0</v>
      </c>
      <c r="P93" s="277">
        <f t="shared" si="16"/>
        <v>0</v>
      </c>
      <c r="Q93" s="277">
        <f t="shared" si="17"/>
        <v>84.72</v>
      </c>
      <c r="R93" s="277">
        <f t="shared" si="18"/>
        <v>0</v>
      </c>
      <c r="S93" s="369">
        <f t="shared" si="19"/>
        <v>84.72</v>
      </c>
      <c r="T93" s="294"/>
      <c r="U93" s="275"/>
      <c r="V93" s="275"/>
      <c r="W93" s="275"/>
      <c r="X93" s="275"/>
      <c r="Y93" s="275">
        <v>0</v>
      </c>
      <c r="Z93" s="275">
        <v>0</v>
      </c>
      <c r="AA93" s="275">
        <f t="shared" si="20"/>
        <v>84.72</v>
      </c>
      <c r="AB93" s="816"/>
      <c r="AC93" s="330"/>
      <c r="AD93" s="330"/>
      <c r="AE93" s="581"/>
      <c r="AF93" s="582"/>
      <c r="AG93" s="266"/>
      <c r="AH93" s="266"/>
      <c r="AI93" s="266"/>
      <c r="AJ93" s="266"/>
      <c r="AK93" s="266"/>
      <c r="AL93" s="266"/>
      <c r="AM93" s="266"/>
      <c r="AN93" s="266"/>
      <c r="AO93" s="266"/>
      <c r="AP93" s="266"/>
      <c r="AQ93" s="266"/>
      <c r="AR93" s="266"/>
      <c r="AS93" s="266"/>
    </row>
    <row r="94" spans="1:45" ht="15" customHeight="1">
      <c r="A94" s="281" t="s">
        <v>149</v>
      </c>
      <c r="B94" s="439" t="s">
        <v>202</v>
      </c>
      <c r="C94" s="518" t="s">
        <v>4</v>
      </c>
      <c r="D94" s="552">
        <v>15.623999999999999</v>
      </c>
      <c r="E94" s="370" t="s">
        <v>149</v>
      </c>
      <c r="F94" s="439" t="s">
        <v>202</v>
      </c>
      <c r="G94" s="518" t="s">
        <v>4</v>
      </c>
      <c r="H94" s="490">
        <v>59.04</v>
      </c>
      <c r="I94" s="320">
        <v>1.1363636363636362</v>
      </c>
      <c r="J94" s="277">
        <v>2.2</v>
      </c>
      <c r="K94" s="276">
        <v>2.5</v>
      </c>
      <c r="L94" s="276"/>
      <c r="M94" s="276">
        <v>0.3</v>
      </c>
      <c r="N94" s="300">
        <v>2.8</v>
      </c>
      <c r="O94" s="424">
        <f t="shared" si="15"/>
        <v>67.09090909090908</v>
      </c>
      <c r="P94" s="277">
        <f t="shared" si="16"/>
        <v>147.6</v>
      </c>
      <c r="Q94" s="277">
        <f t="shared" si="17"/>
        <v>0</v>
      </c>
      <c r="R94" s="277">
        <f t="shared" si="18"/>
        <v>17.712</v>
      </c>
      <c r="S94" s="369">
        <f t="shared" si="19"/>
        <v>165.31199999999998</v>
      </c>
      <c r="T94" s="294"/>
      <c r="U94" s="275"/>
      <c r="V94" s="275"/>
      <c r="W94" s="275"/>
      <c r="X94" s="275"/>
      <c r="Y94" s="275">
        <v>0</v>
      </c>
      <c r="Z94" s="275">
        <v>0</v>
      </c>
      <c r="AA94" s="275">
        <f t="shared" si="20"/>
        <v>165.31199999999998</v>
      </c>
      <c r="AB94" s="813" t="s">
        <v>432</v>
      </c>
      <c r="AC94" s="330"/>
      <c r="AD94" s="581"/>
      <c r="AE94" s="581"/>
      <c r="AF94" s="582"/>
      <c r="AG94" s="581"/>
      <c r="AH94" s="266"/>
      <c r="AI94" s="266"/>
      <c r="AJ94" s="266"/>
      <c r="AK94" s="266"/>
      <c r="AL94" s="266"/>
      <c r="AM94" s="266"/>
      <c r="AN94" s="266"/>
      <c r="AO94" s="266"/>
      <c r="AP94" s="266"/>
      <c r="AQ94" s="266"/>
      <c r="AR94" s="266"/>
      <c r="AS94" s="266"/>
    </row>
    <row r="95" spans="1:45" ht="15" customHeight="1">
      <c r="A95" s="281"/>
      <c r="B95" s="447" t="s">
        <v>203</v>
      </c>
      <c r="C95" s="518" t="s">
        <v>4</v>
      </c>
      <c r="D95" s="552">
        <v>17.1864</v>
      </c>
      <c r="E95" s="370"/>
      <c r="F95" s="447" t="s">
        <v>203</v>
      </c>
      <c r="G95" s="518" t="s">
        <v>4</v>
      </c>
      <c r="H95" s="490">
        <f>H94*1.1</f>
        <v>64.944</v>
      </c>
      <c r="I95" s="320"/>
      <c r="J95" s="276"/>
      <c r="K95" s="276"/>
      <c r="L95" s="276">
        <v>3.65</v>
      </c>
      <c r="M95" s="276"/>
      <c r="N95" s="300">
        <v>3.65</v>
      </c>
      <c r="O95" s="424">
        <f t="shared" si="15"/>
        <v>0</v>
      </c>
      <c r="P95" s="277">
        <f t="shared" si="16"/>
        <v>0</v>
      </c>
      <c r="Q95" s="277">
        <f t="shared" si="17"/>
        <v>237.0456</v>
      </c>
      <c r="R95" s="277">
        <f t="shared" si="18"/>
        <v>0</v>
      </c>
      <c r="S95" s="369">
        <f t="shared" si="19"/>
        <v>237.0456</v>
      </c>
      <c r="T95" s="294"/>
      <c r="U95" s="275"/>
      <c r="V95" s="275"/>
      <c r="W95" s="275"/>
      <c r="X95" s="275"/>
      <c r="Y95" s="275">
        <v>17.19</v>
      </c>
      <c r="Z95" s="275">
        <v>62.73</v>
      </c>
      <c r="AA95" s="275">
        <f t="shared" si="20"/>
        <v>174.31560000000002</v>
      </c>
      <c r="AB95" s="814"/>
      <c r="AC95" s="330"/>
      <c r="AD95" s="581"/>
      <c r="AE95" s="581"/>
      <c r="AF95" s="582"/>
      <c r="AG95" s="266"/>
      <c r="AH95" s="266"/>
      <c r="AI95" s="266"/>
      <c r="AJ95" s="266"/>
      <c r="AK95" s="266"/>
      <c r="AL95" s="266"/>
      <c r="AM95" s="266"/>
      <c r="AN95" s="266"/>
      <c r="AO95" s="266"/>
      <c r="AP95" s="266"/>
      <c r="AQ95" s="266"/>
      <c r="AR95" s="266"/>
      <c r="AS95" s="266"/>
    </row>
    <row r="96" spans="1:45" ht="15" customHeight="1">
      <c r="A96" s="281"/>
      <c r="B96" s="447" t="s">
        <v>146</v>
      </c>
      <c r="C96" s="518" t="s">
        <v>8</v>
      </c>
      <c r="D96" s="552">
        <v>1836</v>
      </c>
      <c r="E96" s="370"/>
      <c r="F96" s="447" t="s">
        <v>146</v>
      </c>
      <c r="G96" s="518" t="s">
        <v>8</v>
      </c>
      <c r="H96" s="490">
        <f>1836/D94*H94</f>
        <v>6937.880184331798</v>
      </c>
      <c r="I96" s="320"/>
      <c r="J96" s="276"/>
      <c r="K96" s="276"/>
      <c r="L96" s="276">
        <v>0.02</v>
      </c>
      <c r="M96" s="276"/>
      <c r="N96" s="300">
        <v>0.02</v>
      </c>
      <c r="O96" s="424">
        <f t="shared" si="15"/>
        <v>0</v>
      </c>
      <c r="P96" s="277">
        <f t="shared" si="16"/>
        <v>0</v>
      </c>
      <c r="Q96" s="277">
        <f t="shared" si="17"/>
        <v>138.75760368663597</v>
      </c>
      <c r="R96" s="277">
        <f t="shared" si="18"/>
        <v>0</v>
      </c>
      <c r="S96" s="369">
        <f t="shared" si="19"/>
        <v>138.75760368663597</v>
      </c>
      <c r="T96" s="294"/>
      <c r="U96" s="275"/>
      <c r="V96" s="275"/>
      <c r="W96" s="275"/>
      <c r="X96" s="275"/>
      <c r="Y96" s="275">
        <v>0</v>
      </c>
      <c r="Z96" s="275">
        <v>0</v>
      </c>
      <c r="AA96" s="275">
        <f t="shared" si="20"/>
        <v>138.75760368663597</v>
      </c>
      <c r="AB96" s="815"/>
      <c r="AC96" s="330"/>
      <c r="AD96" s="581"/>
      <c r="AE96" s="581"/>
      <c r="AF96" s="582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266"/>
    </row>
    <row r="97" spans="1:45" ht="15" customHeight="1">
      <c r="A97" s="281" t="s">
        <v>206</v>
      </c>
      <c r="B97" s="437" t="s">
        <v>204</v>
      </c>
      <c r="C97" s="519" t="s">
        <v>4</v>
      </c>
      <c r="D97" s="553">
        <v>172.8</v>
      </c>
      <c r="E97" s="370" t="s">
        <v>206</v>
      </c>
      <c r="F97" s="437" t="s">
        <v>204</v>
      </c>
      <c r="G97" s="519" t="s">
        <v>4</v>
      </c>
      <c r="H97" s="487">
        <v>172.8</v>
      </c>
      <c r="I97" s="320">
        <v>0.9090909090909091</v>
      </c>
      <c r="J97" s="277">
        <v>2.2</v>
      </c>
      <c r="K97" s="276">
        <v>2</v>
      </c>
      <c r="L97" s="276"/>
      <c r="M97" s="276">
        <v>0.3</v>
      </c>
      <c r="N97" s="300">
        <v>2.3</v>
      </c>
      <c r="O97" s="424">
        <f t="shared" si="15"/>
        <v>157.0909090909091</v>
      </c>
      <c r="P97" s="277">
        <f t="shared" si="16"/>
        <v>345.6</v>
      </c>
      <c r="Q97" s="277">
        <f t="shared" si="17"/>
        <v>0</v>
      </c>
      <c r="R97" s="277">
        <f t="shared" si="18"/>
        <v>51.84</v>
      </c>
      <c r="S97" s="369">
        <f t="shared" si="19"/>
        <v>397.44000000000005</v>
      </c>
      <c r="T97" s="413">
        <v>0</v>
      </c>
      <c r="U97" s="275"/>
      <c r="V97" s="275"/>
      <c r="W97" s="275"/>
      <c r="X97" s="280">
        <v>0</v>
      </c>
      <c r="Y97" s="275">
        <v>69.12</v>
      </c>
      <c r="Z97" s="275">
        <v>158.976</v>
      </c>
      <c r="AA97" s="275">
        <f t="shared" si="20"/>
        <v>238.46400000000006</v>
      </c>
      <c r="AB97" s="813" t="s">
        <v>432</v>
      </c>
      <c r="AC97" s="330"/>
      <c r="AD97" s="581"/>
      <c r="AE97" s="581"/>
      <c r="AF97" s="582"/>
      <c r="AG97" s="266"/>
      <c r="AH97" s="266"/>
      <c r="AI97" s="266"/>
      <c r="AJ97" s="266"/>
      <c r="AK97" s="266"/>
      <c r="AL97" s="266"/>
      <c r="AM97" s="266"/>
      <c r="AN97" s="266"/>
      <c r="AO97" s="266"/>
      <c r="AP97" s="266"/>
      <c r="AQ97" s="266"/>
      <c r="AR97" s="266"/>
      <c r="AS97" s="266"/>
    </row>
    <row r="98" spans="1:45" ht="15" customHeight="1">
      <c r="A98" s="281"/>
      <c r="B98" s="447" t="s">
        <v>24</v>
      </c>
      <c r="C98" s="518" t="s">
        <v>25</v>
      </c>
      <c r="D98" s="552">
        <v>51.84</v>
      </c>
      <c r="E98" s="370"/>
      <c r="F98" s="447" t="s">
        <v>24</v>
      </c>
      <c r="G98" s="518" t="s">
        <v>25</v>
      </c>
      <c r="H98" s="486">
        <v>51.84</v>
      </c>
      <c r="I98" s="320"/>
      <c r="J98" s="276"/>
      <c r="K98" s="276"/>
      <c r="L98" s="276">
        <v>0.69</v>
      </c>
      <c r="M98" s="276"/>
      <c r="N98" s="300">
        <v>0.69</v>
      </c>
      <c r="O98" s="424">
        <f t="shared" si="15"/>
        <v>0</v>
      </c>
      <c r="P98" s="277">
        <f t="shared" si="16"/>
        <v>0</v>
      </c>
      <c r="Q98" s="277">
        <f t="shared" si="17"/>
        <v>35.7696</v>
      </c>
      <c r="R98" s="277">
        <f t="shared" si="18"/>
        <v>0</v>
      </c>
      <c r="S98" s="369">
        <f t="shared" si="19"/>
        <v>35.7696</v>
      </c>
      <c r="T98" s="413">
        <v>0</v>
      </c>
      <c r="U98" s="275"/>
      <c r="V98" s="275"/>
      <c r="W98" s="275"/>
      <c r="X98" s="280">
        <v>0</v>
      </c>
      <c r="Y98" s="275">
        <v>20.74</v>
      </c>
      <c r="Z98" s="275">
        <v>14.31</v>
      </c>
      <c r="AA98" s="275">
        <f t="shared" si="20"/>
        <v>21.459599999999995</v>
      </c>
      <c r="AB98" s="814"/>
      <c r="AC98" s="330"/>
      <c r="AD98" s="581"/>
      <c r="AE98" s="581"/>
      <c r="AF98" s="582"/>
      <c r="AG98" s="266"/>
      <c r="AH98" s="266"/>
      <c r="AI98" s="266"/>
      <c r="AJ98" s="266"/>
      <c r="AK98" s="266"/>
      <c r="AL98" s="266"/>
      <c r="AM98" s="266"/>
      <c r="AN98" s="266"/>
      <c r="AO98" s="266"/>
      <c r="AP98" s="266"/>
      <c r="AQ98" s="266"/>
      <c r="AR98" s="266"/>
      <c r="AS98" s="266"/>
    </row>
    <row r="99" spans="1:45" ht="15" customHeight="1">
      <c r="A99" s="281"/>
      <c r="B99" s="451" t="s">
        <v>178</v>
      </c>
      <c r="C99" s="519" t="s">
        <v>18</v>
      </c>
      <c r="D99" s="553">
        <v>1123.2</v>
      </c>
      <c r="E99" s="370"/>
      <c r="F99" s="451" t="s">
        <v>178</v>
      </c>
      <c r="G99" s="519" t="s">
        <v>18</v>
      </c>
      <c r="H99" s="487">
        <v>1123.2</v>
      </c>
      <c r="I99" s="320"/>
      <c r="J99" s="276"/>
      <c r="K99" s="276"/>
      <c r="L99" s="276">
        <v>0.18</v>
      </c>
      <c r="M99" s="276"/>
      <c r="N99" s="300">
        <v>0.18</v>
      </c>
      <c r="O99" s="424">
        <f t="shared" si="15"/>
        <v>0</v>
      </c>
      <c r="P99" s="277">
        <f t="shared" si="16"/>
        <v>0</v>
      </c>
      <c r="Q99" s="277">
        <f t="shared" si="17"/>
        <v>202.176</v>
      </c>
      <c r="R99" s="277">
        <f t="shared" si="18"/>
        <v>0</v>
      </c>
      <c r="S99" s="369">
        <f t="shared" si="19"/>
        <v>202.176</v>
      </c>
      <c r="T99" s="413">
        <v>0</v>
      </c>
      <c r="U99" s="275"/>
      <c r="V99" s="275"/>
      <c r="W99" s="275"/>
      <c r="X99" s="280">
        <v>0</v>
      </c>
      <c r="Y99" s="275">
        <v>449.28</v>
      </c>
      <c r="Z99" s="275">
        <v>80.87</v>
      </c>
      <c r="AA99" s="275">
        <f t="shared" si="20"/>
        <v>121.30599999999998</v>
      </c>
      <c r="AB99" s="815"/>
      <c r="AC99" s="330"/>
      <c r="AD99" s="581"/>
      <c r="AE99" s="581"/>
      <c r="AF99" s="582"/>
      <c r="AG99" s="266"/>
      <c r="AH99" s="266"/>
      <c r="AI99" s="266"/>
      <c r="AJ99" s="266"/>
      <c r="AK99" s="266"/>
      <c r="AL99" s="266"/>
      <c r="AM99" s="266"/>
      <c r="AN99" s="266"/>
      <c r="AO99" s="266"/>
      <c r="AP99" s="266"/>
      <c r="AQ99" s="266"/>
      <c r="AR99" s="266"/>
      <c r="AS99" s="266"/>
    </row>
    <row r="100" spans="1:45" ht="15" customHeight="1">
      <c r="A100" s="281"/>
      <c r="B100" s="451"/>
      <c r="C100" s="519"/>
      <c r="D100" s="553"/>
      <c r="E100" s="370" t="s">
        <v>581</v>
      </c>
      <c r="F100" s="442" t="s">
        <v>118</v>
      </c>
      <c r="G100" s="521" t="s">
        <v>7</v>
      </c>
      <c r="H100" s="493">
        <v>159.36</v>
      </c>
      <c r="I100" s="320">
        <v>0.2954545454545454</v>
      </c>
      <c r="J100" s="277">
        <v>2.2</v>
      </c>
      <c r="K100" s="277">
        <v>0.65</v>
      </c>
      <c r="L100" s="277"/>
      <c r="M100" s="277">
        <v>0.2</v>
      </c>
      <c r="N100" s="300">
        <v>0.85</v>
      </c>
      <c r="O100" s="424">
        <f t="shared" si="15"/>
        <v>47.08363636363636</v>
      </c>
      <c r="P100" s="277">
        <f t="shared" si="16"/>
        <v>103.58400000000002</v>
      </c>
      <c r="Q100" s="277">
        <f t="shared" si="17"/>
        <v>0</v>
      </c>
      <c r="R100" s="277">
        <f t="shared" si="18"/>
        <v>31.872000000000003</v>
      </c>
      <c r="S100" s="369">
        <f t="shared" si="19"/>
        <v>135.45600000000002</v>
      </c>
      <c r="T100" s="413"/>
      <c r="U100" s="275"/>
      <c r="V100" s="275"/>
      <c r="W100" s="275"/>
      <c r="X100" s="280"/>
      <c r="Y100" s="275"/>
      <c r="Z100" s="275"/>
      <c r="AA100" s="275"/>
      <c r="AB100" s="302"/>
      <c r="AC100" s="330"/>
      <c r="AD100" s="581"/>
      <c r="AE100" s="581"/>
      <c r="AF100" s="582"/>
      <c r="AG100" s="266"/>
      <c r="AH100" s="266"/>
      <c r="AI100" s="266"/>
      <c r="AJ100" s="266"/>
      <c r="AK100" s="266"/>
      <c r="AL100" s="266"/>
      <c r="AM100" s="266"/>
      <c r="AN100" s="266"/>
      <c r="AO100" s="266"/>
      <c r="AP100" s="266"/>
      <c r="AQ100" s="266"/>
      <c r="AR100" s="266"/>
      <c r="AS100" s="266"/>
    </row>
    <row r="101" spans="1:45" ht="15" customHeight="1">
      <c r="A101" s="281"/>
      <c r="B101" s="451"/>
      <c r="C101" s="519"/>
      <c r="D101" s="553"/>
      <c r="E101" s="370" t="s">
        <v>578</v>
      </c>
      <c r="F101" s="442" t="s">
        <v>119</v>
      </c>
      <c r="G101" s="521" t="s">
        <v>120</v>
      </c>
      <c r="H101" s="494">
        <v>159.36</v>
      </c>
      <c r="I101" s="343"/>
      <c r="J101" s="277"/>
      <c r="K101" s="277">
        <v>0.5</v>
      </c>
      <c r="L101" s="277"/>
      <c r="M101" s="277">
        <v>0.1</v>
      </c>
      <c r="N101" s="300">
        <v>0.6</v>
      </c>
      <c r="O101" s="424">
        <f aca="true" t="shared" si="21" ref="O101:O111">H101*I101</f>
        <v>0</v>
      </c>
      <c r="P101" s="277">
        <f aca="true" t="shared" si="22" ref="P101:P111">H101*K101</f>
        <v>79.68</v>
      </c>
      <c r="Q101" s="277">
        <f aca="true" t="shared" si="23" ref="Q101:Q111">H101*L101</f>
        <v>0</v>
      </c>
      <c r="R101" s="277">
        <f aca="true" t="shared" si="24" ref="R101:R111">H101*M101</f>
        <v>15.936000000000002</v>
      </c>
      <c r="S101" s="369">
        <f aca="true" t="shared" si="25" ref="S101:S111">P101+Q101+R101</f>
        <v>95.61600000000001</v>
      </c>
      <c r="T101" s="413"/>
      <c r="U101" s="275"/>
      <c r="V101" s="275"/>
      <c r="W101" s="275"/>
      <c r="X101" s="280"/>
      <c r="Y101" s="275"/>
      <c r="Z101" s="275"/>
      <c r="AA101" s="275"/>
      <c r="AB101" s="302"/>
      <c r="AC101" s="330"/>
      <c r="AD101" s="581"/>
      <c r="AE101" s="581"/>
      <c r="AF101" s="582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</row>
    <row r="102" spans="1:45" ht="15" customHeight="1">
      <c r="A102" s="281"/>
      <c r="B102" s="451"/>
      <c r="C102" s="519"/>
      <c r="D102" s="553"/>
      <c r="E102" s="370"/>
      <c r="F102" s="451" t="s">
        <v>121</v>
      </c>
      <c r="G102" s="521" t="s">
        <v>18</v>
      </c>
      <c r="H102" s="490">
        <f>H101*0.3</f>
        <v>47.808</v>
      </c>
      <c r="I102" s="343"/>
      <c r="J102" s="277"/>
      <c r="K102" s="277"/>
      <c r="L102" s="277">
        <v>0.69</v>
      </c>
      <c r="M102" s="277"/>
      <c r="N102" s="300">
        <v>0.69</v>
      </c>
      <c r="O102" s="424">
        <f t="shared" si="21"/>
        <v>0</v>
      </c>
      <c r="P102" s="277">
        <f t="shared" si="22"/>
        <v>0</v>
      </c>
      <c r="Q102" s="277">
        <f t="shared" si="23"/>
        <v>32.987519999999996</v>
      </c>
      <c r="R102" s="277">
        <f t="shared" si="24"/>
        <v>0</v>
      </c>
      <c r="S102" s="369">
        <f t="shared" si="25"/>
        <v>32.987519999999996</v>
      </c>
      <c r="T102" s="413"/>
      <c r="U102" s="275"/>
      <c r="V102" s="275"/>
      <c r="W102" s="275"/>
      <c r="X102" s="280"/>
      <c r="Y102" s="275"/>
      <c r="Z102" s="275"/>
      <c r="AA102" s="275"/>
      <c r="AB102" s="302"/>
      <c r="AC102" s="330"/>
      <c r="AD102" s="581"/>
      <c r="AE102" s="581"/>
      <c r="AF102" s="582"/>
      <c r="AG102" s="266"/>
      <c r="AH102" s="266"/>
      <c r="AI102" s="266"/>
      <c r="AJ102" s="266"/>
      <c r="AK102" s="266"/>
      <c r="AL102" s="266"/>
      <c r="AM102" s="266"/>
      <c r="AN102" s="266"/>
      <c r="AO102" s="266"/>
      <c r="AP102" s="266"/>
      <c r="AQ102" s="266"/>
      <c r="AR102" s="266"/>
      <c r="AS102" s="266"/>
    </row>
    <row r="103" spans="1:45" ht="23.25" customHeight="1">
      <c r="A103" s="281"/>
      <c r="B103" s="451"/>
      <c r="C103" s="519"/>
      <c r="D103" s="553"/>
      <c r="E103" s="370" t="s">
        <v>579</v>
      </c>
      <c r="F103" s="442" t="s">
        <v>130</v>
      </c>
      <c r="G103" s="521" t="s">
        <v>120</v>
      </c>
      <c r="H103" s="494">
        <v>67.68</v>
      </c>
      <c r="I103" s="320">
        <v>1.1363636363636362</v>
      </c>
      <c r="J103" s="277">
        <v>2.2</v>
      </c>
      <c r="K103" s="276">
        <v>2.5</v>
      </c>
      <c r="L103" s="276"/>
      <c r="M103" s="276">
        <v>0.1</v>
      </c>
      <c r="N103" s="300">
        <v>2.6</v>
      </c>
      <c r="O103" s="424">
        <f t="shared" si="21"/>
        <v>76.9090909090909</v>
      </c>
      <c r="P103" s="277">
        <f t="shared" si="22"/>
        <v>169.20000000000002</v>
      </c>
      <c r="Q103" s="277">
        <f t="shared" si="23"/>
        <v>0</v>
      </c>
      <c r="R103" s="277">
        <f t="shared" si="24"/>
        <v>6.768000000000001</v>
      </c>
      <c r="S103" s="369">
        <f t="shared" si="25"/>
        <v>175.96800000000002</v>
      </c>
      <c r="T103" s="413"/>
      <c r="U103" s="275"/>
      <c r="V103" s="275"/>
      <c r="W103" s="275"/>
      <c r="X103" s="280"/>
      <c r="Y103" s="275"/>
      <c r="Z103" s="275"/>
      <c r="AA103" s="275"/>
      <c r="AB103" s="302"/>
      <c r="AC103" s="330"/>
      <c r="AD103" s="581"/>
      <c r="AE103" s="581"/>
      <c r="AF103" s="582"/>
      <c r="AG103" s="266"/>
      <c r="AH103" s="266"/>
      <c r="AI103" s="266"/>
      <c r="AJ103" s="266"/>
      <c r="AK103" s="266"/>
      <c r="AL103" s="266"/>
      <c r="AM103" s="266"/>
      <c r="AN103" s="266"/>
      <c r="AO103" s="266"/>
      <c r="AP103" s="266"/>
      <c r="AQ103" s="266"/>
      <c r="AR103" s="266"/>
      <c r="AS103" s="266"/>
    </row>
    <row r="104" spans="1:45" ht="15" customHeight="1">
      <c r="A104" s="281"/>
      <c r="B104" s="451"/>
      <c r="C104" s="519"/>
      <c r="D104" s="553"/>
      <c r="E104" s="370"/>
      <c r="F104" s="451" t="s">
        <v>129</v>
      </c>
      <c r="G104" s="521" t="s">
        <v>120</v>
      </c>
      <c r="H104" s="490">
        <f>H103*1.1</f>
        <v>74.44800000000001</v>
      </c>
      <c r="I104" s="343"/>
      <c r="J104" s="277"/>
      <c r="K104" s="277"/>
      <c r="L104" s="277">
        <v>3.55</v>
      </c>
      <c r="M104" s="277"/>
      <c r="N104" s="300">
        <v>3.55</v>
      </c>
      <c r="O104" s="424">
        <f t="shared" si="21"/>
        <v>0</v>
      </c>
      <c r="P104" s="277">
        <f t="shared" si="22"/>
        <v>0</v>
      </c>
      <c r="Q104" s="277">
        <f t="shared" si="23"/>
        <v>264.29040000000003</v>
      </c>
      <c r="R104" s="277">
        <f t="shared" si="24"/>
        <v>0</v>
      </c>
      <c r="S104" s="369">
        <f t="shared" si="25"/>
        <v>264.29040000000003</v>
      </c>
      <c r="T104" s="413"/>
      <c r="U104" s="275"/>
      <c r="V104" s="275"/>
      <c r="W104" s="275"/>
      <c r="X104" s="280"/>
      <c r="Y104" s="275"/>
      <c r="Z104" s="275"/>
      <c r="AA104" s="275"/>
      <c r="AB104" s="302"/>
      <c r="AC104" s="330"/>
      <c r="AD104" s="581"/>
      <c r="AE104" s="581"/>
      <c r="AF104" s="582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266"/>
    </row>
    <row r="105" spans="1:45" ht="15" customHeight="1">
      <c r="A105" s="281"/>
      <c r="B105" s="451"/>
      <c r="C105" s="519"/>
      <c r="D105" s="553"/>
      <c r="E105" s="370"/>
      <c r="F105" s="451" t="s">
        <v>122</v>
      </c>
      <c r="G105" s="521" t="s">
        <v>18</v>
      </c>
      <c r="H105" s="490">
        <f>H103*4</f>
        <v>270.72</v>
      </c>
      <c r="I105" s="343"/>
      <c r="J105" s="277"/>
      <c r="K105" s="277"/>
      <c r="L105" s="277">
        <v>0.11</v>
      </c>
      <c r="M105" s="277"/>
      <c r="N105" s="300">
        <v>0.11</v>
      </c>
      <c r="O105" s="424">
        <f t="shared" si="21"/>
        <v>0</v>
      </c>
      <c r="P105" s="277">
        <f t="shared" si="22"/>
        <v>0</v>
      </c>
      <c r="Q105" s="277">
        <f t="shared" si="23"/>
        <v>29.779200000000003</v>
      </c>
      <c r="R105" s="277">
        <f t="shared" si="24"/>
        <v>0</v>
      </c>
      <c r="S105" s="369">
        <f t="shared" si="25"/>
        <v>29.779200000000003</v>
      </c>
      <c r="T105" s="413"/>
      <c r="U105" s="275"/>
      <c r="V105" s="275"/>
      <c r="W105" s="275"/>
      <c r="X105" s="280"/>
      <c r="Y105" s="275"/>
      <c r="Z105" s="275"/>
      <c r="AA105" s="275"/>
      <c r="AB105" s="302"/>
      <c r="AC105" s="330"/>
      <c r="AD105" s="581"/>
      <c r="AE105" s="581"/>
      <c r="AF105" s="582"/>
      <c r="AG105" s="266"/>
      <c r="AH105" s="266"/>
      <c r="AI105" s="266"/>
      <c r="AJ105" s="266"/>
      <c r="AK105" s="266"/>
      <c r="AL105" s="266"/>
      <c r="AM105" s="266"/>
      <c r="AN105" s="266"/>
      <c r="AO105" s="266"/>
      <c r="AP105" s="266"/>
      <c r="AQ105" s="266"/>
      <c r="AR105" s="266"/>
      <c r="AS105" s="266"/>
    </row>
    <row r="106" spans="1:45" ht="15" customHeight="1">
      <c r="A106" s="281"/>
      <c r="B106" s="451"/>
      <c r="C106" s="519"/>
      <c r="D106" s="553"/>
      <c r="E106" s="370"/>
      <c r="F106" s="451" t="s">
        <v>123</v>
      </c>
      <c r="G106" s="521" t="s">
        <v>8</v>
      </c>
      <c r="H106" s="490">
        <f>H104*4</f>
        <v>297.79200000000003</v>
      </c>
      <c r="I106" s="343"/>
      <c r="J106" s="277"/>
      <c r="K106" s="277"/>
      <c r="L106" s="277">
        <v>0.1</v>
      </c>
      <c r="M106" s="277"/>
      <c r="N106" s="300">
        <v>0.1</v>
      </c>
      <c r="O106" s="424">
        <f t="shared" si="21"/>
        <v>0</v>
      </c>
      <c r="P106" s="277">
        <f t="shared" si="22"/>
        <v>0</v>
      </c>
      <c r="Q106" s="277">
        <f t="shared" si="23"/>
        <v>29.779200000000003</v>
      </c>
      <c r="R106" s="277">
        <f t="shared" si="24"/>
        <v>0</v>
      </c>
      <c r="S106" s="369">
        <f t="shared" si="25"/>
        <v>29.779200000000003</v>
      </c>
      <c r="T106" s="413"/>
      <c r="U106" s="275"/>
      <c r="V106" s="275"/>
      <c r="W106" s="275"/>
      <c r="X106" s="280"/>
      <c r="Y106" s="275"/>
      <c r="Z106" s="275"/>
      <c r="AA106" s="275"/>
      <c r="AB106" s="302"/>
      <c r="AC106" s="330"/>
      <c r="AD106" s="581"/>
      <c r="AE106" s="581"/>
      <c r="AF106" s="582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266"/>
    </row>
    <row r="107" spans="1:45" ht="15" customHeight="1">
      <c r="A107" s="281"/>
      <c r="B107" s="451"/>
      <c r="C107" s="519"/>
      <c r="D107" s="553"/>
      <c r="E107" s="370"/>
      <c r="F107" s="447" t="s">
        <v>131</v>
      </c>
      <c r="G107" s="518" t="s">
        <v>8</v>
      </c>
      <c r="H107" s="490">
        <f>H103</f>
        <v>67.68</v>
      </c>
      <c r="I107" s="343"/>
      <c r="J107" s="277"/>
      <c r="K107" s="277"/>
      <c r="L107" s="277">
        <v>1.91</v>
      </c>
      <c r="M107" s="277"/>
      <c r="N107" s="300">
        <v>1.91</v>
      </c>
      <c r="O107" s="424">
        <f t="shared" si="21"/>
        <v>0</v>
      </c>
      <c r="P107" s="277">
        <f t="shared" si="22"/>
        <v>0</v>
      </c>
      <c r="Q107" s="277">
        <f t="shared" si="23"/>
        <v>129.2688</v>
      </c>
      <c r="R107" s="277">
        <f t="shared" si="24"/>
        <v>0</v>
      </c>
      <c r="S107" s="369">
        <f t="shared" si="25"/>
        <v>129.2688</v>
      </c>
      <c r="T107" s="413"/>
      <c r="U107" s="275"/>
      <c r="V107" s="275"/>
      <c r="W107" s="275"/>
      <c r="X107" s="280"/>
      <c r="Y107" s="275"/>
      <c r="Z107" s="275"/>
      <c r="AA107" s="275"/>
      <c r="AB107" s="302"/>
      <c r="AC107" s="330"/>
      <c r="AD107" s="581"/>
      <c r="AE107" s="581"/>
      <c r="AF107" s="582"/>
      <c r="AG107" s="266"/>
      <c r="AH107" s="266"/>
      <c r="AI107" s="266"/>
      <c r="AJ107" s="266"/>
      <c r="AK107" s="266"/>
      <c r="AL107" s="266"/>
      <c r="AM107" s="266"/>
      <c r="AN107" s="266"/>
      <c r="AO107" s="266"/>
      <c r="AP107" s="266"/>
      <c r="AQ107" s="266"/>
      <c r="AR107" s="266"/>
      <c r="AS107" s="266"/>
    </row>
    <row r="108" spans="1:45" ht="15" customHeight="1">
      <c r="A108" s="281"/>
      <c r="B108" s="451"/>
      <c r="C108" s="519"/>
      <c r="D108" s="553"/>
      <c r="E108" s="370" t="s">
        <v>580</v>
      </c>
      <c r="F108" s="442" t="s">
        <v>593</v>
      </c>
      <c r="G108" s="521" t="s">
        <v>120</v>
      </c>
      <c r="H108" s="490">
        <f>H103</f>
        <v>67.68</v>
      </c>
      <c r="I108" s="320">
        <v>0.45454545454545453</v>
      </c>
      <c r="J108" s="277">
        <v>2.2</v>
      </c>
      <c r="K108" s="277">
        <v>1</v>
      </c>
      <c r="L108" s="277"/>
      <c r="M108" s="277">
        <v>0.2</v>
      </c>
      <c r="N108" s="300">
        <v>1.2</v>
      </c>
      <c r="O108" s="424">
        <f t="shared" si="21"/>
        <v>30.763636363636365</v>
      </c>
      <c r="P108" s="277">
        <f t="shared" si="22"/>
        <v>67.68</v>
      </c>
      <c r="Q108" s="277">
        <f t="shared" si="23"/>
        <v>0</v>
      </c>
      <c r="R108" s="277">
        <f t="shared" si="24"/>
        <v>13.536000000000001</v>
      </c>
      <c r="S108" s="369">
        <f t="shared" si="25"/>
        <v>81.21600000000001</v>
      </c>
      <c r="T108" s="413"/>
      <c r="U108" s="275"/>
      <c r="V108" s="275"/>
      <c r="W108" s="275"/>
      <c r="X108" s="280"/>
      <c r="Y108" s="275"/>
      <c r="Z108" s="275"/>
      <c r="AA108" s="275"/>
      <c r="AB108" s="302"/>
      <c r="AC108" s="330"/>
      <c r="AD108" s="581"/>
      <c r="AE108" s="581"/>
      <c r="AF108" s="582"/>
      <c r="AG108" s="266"/>
      <c r="AH108" s="266"/>
      <c r="AI108" s="266"/>
      <c r="AJ108" s="266"/>
      <c r="AK108" s="266"/>
      <c r="AL108" s="266"/>
      <c r="AM108" s="266"/>
      <c r="AN108" s="266"/>
      <c r="AO108" s="266"/>
      <c r="AP108" s="266"/>
      <c r="AQ108" s="266"/>
      <c r="AR108" s="266"/>
      <c r="AS108" s="266"/>
    </row>
    <row r="109" spans="1:45" ht="15" customHeight="1">
      <c r="A109" s="281"/>
      <c r="B109" s="451"/>
      <c r="C109" s="519"/>
      <c r="D109" s="553"/>
      <c r="E109" s="370"/>
      <c r="F109" s="451" t="s">
        <v>125</v>
      </c>
      <c r="G109" s="521" t="s">
        <v>18</v>
      </c>
      <c r="H109" s="490">
        <f>H108*5</f>
        <v>338.40000000000003</v>
      </c>
      <c r="I109" s="343"/>
      <c r="J109" s="277"/>
      <c r="K109" s="277"/>
      <c r="L109" s="277">
        <v>0.11</v>
      </c>
      <c r="M109" s="277"/>
      <c r="N109" s="300">
        <v>0.11</v>
      </c>
      <c r="O109" s="424">
        <f t="shared" si="21"/>
        <v>0</v>
      </c>
      <c r="P109" s="277">
        <f t="shared" si="22"/>
        <v>0</v>
      </c>
      <c r="Q109" s="277">
        <f t="shared" si="23"/>
        <v>37.224000000000004</v>
      </c>
      <c r="R109" s="277">
        <f t="shared" si="24"/>
        <v>0</v>
      </c>
      <c r="S109" s="369">
        <f t="shared" si="25"/>
        <v>37.224000000000004</v>
      </c>
      <c r="T109" s="413"/>
      <c r="U109" s="275"/>
      <c r="V109" s="275"/>
      <c r="W109" s="275"/>
      <c r="X109" s="280"/>
      <c r="Y109" s="275"/>
      <c r="Z109" s="275"/>
      <c r="AA109" s="275"/>
      <c r="AB109" s="302"/>
      <c r="AC109" s="330"/>
      <c r="AD109" s="581"/>
      <c r="AE109" s="581"/>
      <c r="AF109" s="582"/>
      <c r="AG109" s="266"/>
      <c r="AH109" s="266"/>
      <c r="AI109" s="266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</row>
    <row r="110" spans="1:45" ht="15" customHeight="1">
      <c r="A110" s="281"/>
      <c r="B110" s="451"/>
      <c r="C110" s="519"/>
      <c r="D110" s="553"/>
      <c r="E110" s="370"/>
      <c r="F110" s="451" t="s">
        <v>126</v>
      </c>
      <c r="G110" s="521" t="s">
        <v>120</v>
      </c>
      <c r="H110" s="490">
        <f>H108*1.05</f>
        <v>71.06400000000001</v>
      </c>
      <c r="I110" s="343"/>
      <c r="J110" s="277"/>
      <c r="K110" s="277"/>
      <c r="L110" s="277">
        <v>0.31</v>
      </c>
      <c r="M110" s="277"/>
      <c r="N110" s="300">
        <v>0.31</v>
      </c>
      <c r="O110" s="424">
        <f t="shared" si="21"/>
        <v>0</v>
      </c>
      <c r="P110" s="277">
        <f t="shared" si="22"/>
        <v>0</v>
      </c>
      <c r="Q110" s="277">
        <f t="shared" si="23"/>
        <v>22.029840000000004</v>
      </c>
      <c r="R110" s="277">
        <f t="shared" si="24"/>
        <v>0</v>
      </c>
      <c r="S110" s="369">
        <f t="shared" si="25"/>
        <v>22.029840000000004</v>
      </c>
      <c r="T110" s="413"/>
      <c r="U110" s="275"/>
      <c r="V110" s="275"/>
      <c r="W110" s="275"/>
      <c r="X110" s="280"/>
      <c r="Y110" s="275"/>
      <c r="Z110" s="275"/>
      <c r="AA110" s="275"/>
      <c r="AB110" s="302"/>
      <c r="AC110" s="330"/>
      <c r="AD110" s="581"/>
      <c r="AE110" s="581"/>
      <c r="AF110" s="582"/>
      <c r="AG110" s="266"/>
      <c r="AH110" s="266"/>
      <c r="AI110" s="266"/>
      <c r="AJ110" s="266"/>
      <c r="AK110" s="266"/>
      <c r="AL110" s="266"/>
      <c r="AM110" s="266"/>
      <c r="AN110" s="266"/>
      <c r="AO110" s="266"/>
      <c r="AP110" s="266"/>
      <c r="AQ110" s="266"/>
      <c r="AR110" s="266"/>
      <c r="AS110" s="266"/>
    </row>
    <row r="111" spans="1:45" ht="15" customHeight="1">
      <c r="A111" s="281"/>
      <c r="B111" s="451"/>
      <c r="C111" s="519"/>
      <c r="D111" s="553"/>
      <c r="E111" s="370"/>
      <c r="F111" s="447" t="s">
        <v>132</v>
      </c>
      <c r="G111" s="518" t="s">
        <v>112</v>
      </c>
      <c r="H111" s="490">
        <f>H108*0.7</f>
        <v>47.376000000000005</v>
      </c>
      <c r="I111" s="343"/>
      <c r="J111" s="277"/>
      <c r="K111" s="277"/>
      <c r="L111" s="277">
        <v>0.26</v>
      </c>
      <c r="M111" s="277"/>
      <c r="N111" s="300">
        <v>0.26</v>
      </c>
      <c r="O111" s="424">
        <f t="shared" si="21"/>
        <v>0</v>
      </c>
      <c r="P111" s="277">
        <f t="shared" si="22"/>
        <v>0</v>
      </c>
      <c r="Q111" s="277">
        <f t="shared" si="23"/>
        <v>12.317760000000002</v>
      </c>
      <c r="R111" s="277">
        <f t="shared" si="24"/>
        <v>0</v>
      </c>
      <c r="S111" s="369">
        <f t="shared" si="25"/>
        <v>12.317760000000002</v>
      </c>
      <c r="T111" s="413"/>
      <c r="U111" s="275"/>
      <c r="V111" s="275"/>
      <c r="W111" s="275"/>
      <c r="X111" s="280"/>
      <c r="Y111" s="275"/>
      <c r="Z111" s="275"/>
      <c r="AA111" s="275"/>
      <c r="AB111" s="302"/>
      <c r="AC111" s="330"/>
      <c r="AD111" s="581"/>
      <c r="AE111" s="581"/>
      <c r="AF111" s="582"/>
      <c r="AG111" s="266"/>
      <c r="AH111" s="266"/>
      <c r="AI111" s="266"/>
      <c r="AJ111" s="266"/>
      <c r="AK111" s="266"/>
      <c r="AL111" s="266"/>
      <c r="AM111" s="266"/>
      <c r="AN111" s="266"/>
      <c r="AO111" s="266"/>
      <c r="AP111" s="266"/>
      <c r="AQ111" s="266"/>
      <c r="AR111" s="266"/>
      <c r="AS111" s="266"/>
    </row>
    <row r="112" spans="1:45" ht="15" customHeight="1">
      <c r="A112" s="281" t="s">
        <v>208</v>
      </c>
      <c r="B112" s="437" t="s">
        <v>205</v>
      </c>
      <c r="C112" s="519" t="s">
        <v>4</v>
      </c>
      <c r="D112" s="553">
        <v>172.8</v>
      </c>
      <c r="E112" s="370" t="s">
        <v>208</v>
      </c>
      <c r="F112" s="437" t="s">
        <v>205</v>
      </c>
      <c r="G112" s="519" t="s">
        <v>4</v>
      </c>
      <c r="H112" s="487">
        <v>172.8</v>
      </c>
      <c r="I112" s="320">
        <v>0.45454545454545453</v>
      </c>
      <c r="J112" s="277">
        <v>2.2</v>
      </c>
      <c r="K112" s="276">
        <v>1</v>
      </c>
      <c r="L112" s="276"/>
      <c r="M112" s="276">
        <v>0.2</v>
      </c>
      <c r="N112" s="300">
        <v>1.2</v>
      </c>
      <c r="O112" s="424">
        <f t="shared" si="15"/>
        <v>78.54545454545455</v>
      </c>
      <c r="P112" s="277">
        <f t="shared" si="16"/>
        <v>172.8</v>
      </c>
      <c r="Q112" s="277">
        <f t="shared" si="17"/>
        <v>0</v>
      </c>
      <c r="R112" s="277">
        <f t="shared" si="18"/>
        <v>34.56</v>
      </c>
      <c r="S112" s="369">
        <f t="shared" si="19"/>
        <v>207.36</v>
      </c>
      <c r="T112" s="413"/>
      <c r="U112" s="275">
        <f aca="true" t="shared" si="26" ref="U112:U118">ROUND(T112*K112,2)</f>
        <v>0</v>
      </c>
      <c r="V112" s="275">
        <f aca="true" t="shared" si="27" ref="V112:V118">ROUND(T112*L112,2)</f>
        <v>0</v>
      </c>
      <c r="W112" s="275">
        <f aca="true" t="shared" si="28" ref="W112:W118">T112*M112</f>
        <v>0</v>
      </c>
      <c r="X112" s="280">
        <f aca="true" t="shared" si="29" ref="X112:X118">U112+V112+W112</f>
        <v>0</v>
      </c>
      <c r="Y112" s="275">
        <v>0</v>
      </c>
      <c r="Z112" s="275">
        <v>0</v>
      </c>
      <c r="AA112" s="275">
        <f t="shared" si="20"/>
        <v>207.36</v>
      </c>
      <c r="AB112" s="813" t="s">
        <v>432</v>
      </c>
      <c r="AC112" s="330"/>
      <c r="AD112" s="581"/>
      <c r="AE112" s="581"/>
      <c r="AF112" s="582"/>
      <c r="AG112" s="266"/>
      <c r="AH112" s="266"/>
      <c r="AI112" s="266"/>
      <c r="AJ112" s="266"/>
      <c r="AK112" s="266"/>
      <c r="AL112" s="266"/>
      <c r="AM112" s="266"/>
      <c r="AN112" s="266"/>
      <c r="AO112" s="266"/>
      <c r="AP112" s="266"/>
      <c r="AQ112" s="266"/>
      <c r="AR112" s="266"/>
      <c r="AS112" s="266"/>
    </row>
    <row r="113" spans="1:45" ht="15" customHeight="1">
      <c r="A113" s="281"/>
      <c r="B113" s="447" t="s">
        <v>185</v>
      </c>
      <c r="C113" s="518" t="s">
        <v>25</v>
      </c>
      <c r="D113" s="552">
        <v>57.02400000000001</v>
      </c>
      <c r="E113" s="370"/>
      <c r="F113" s="447" t="s">
        <v>185</v>
      </c>
      <c r="G113" s="518" t="s">
        <v>25</v>
      </c>
      <c r="H113" s="486">
        <v>57.02400000000001</v>
      </c>
      <c r="I113" s="320"/>
      <c r="J113" s="276"/>
      <c r="K113" s="276"/>
      <c r="L113" s="276">
        <v>0.69</v>
      </c>
      <c r="M113" s="276"/>
      <c r="N113" s="300">
        <v>0.69</v>
      </c>
      <c r="O113" s="424">
        <f t="shared" si="15"/>
        <v>0</v>
      </c>
      <c r="P113" s="277">
        <f t="shared" si="16"/>
        <v>0</v>
      </c>
      <c r="Q113" s="277">
        <f t="shared" si="17"/>
        <v>39.346560000000004</v>
      </c>
      <c r="R113" s="277">
        <f t="shared" si="18"/>
        <v>0</v>
      </c>
      <c r="S113" s="369">
        <f t="shared" si="19"/>
        <v>39.346560000000004</v>
      </c>
      <c r="T113" s="413"/>
      <c r="U113" s="275">
        <f t="shared" si="26"/>
        <v>0</v>
      </c>
      <c r="V113" s="275">
        <f t="shared" si="27"/>
        <v>0</v>
      </c>
      <c r="W113" s="275">
        <f t="shared" si="28"/>
        <v>0</v>
      </c>
      <c r="X113" s="280">
        <f t="shared" si="29"/>
        <v>0</v>
      </c>
      <c r="Y113" s="275">
        <v>0</v>
      </c>
      <c r="Z113" s="275">
        <v>0</v>
      </c>
      <c r="AA113" s="275">
        <f t="shared" si="20"/>
        <v>39.346560000000004</v>
      </c>
      <c r="AB113" s="814"/>
      <c r="AC113" s="330"/>
      <c r="AD113" s="581"/>
      <c r="AE113" s="581"/>
      <c r="AF113" s="582"/>
      <c r="AG113" s="266"/>
      <c r="AH113" s="266"/>
      <c r="AI113" s="266"/>
      <c r="AJ113" s="266"/>
      <c r="AK113" s="266"/>
      <c r="AL113" s="266"/>
      <c r="AM113" s="266"/>
      <c r="AN113" s="266"/>
      <c r="AO113" s="266"/>
      <c r="AP113" s="266"/>
      <c r="AQ113" s="266"/>
      <c r="AR113" s="266"/>
      <c r="AS113" s="266"/>
    </row>
    <row r="114" spans="1:45" ht="15" customHeight="1">
      <c r="A114" s="281"/>
      <c r="B114" s="447" t="s">
        <v>186</v>
      </c>
      <c r="C114" s="518" t="s">
        <v>18</v>
      </c>
      <c r="D114" s="552">
        <v>51.84</v>
      </c>
      <c r="E114" s="370"/>
      <c r="F114" s="447" t="s">
        <v>186</v>
      </c>
      <c r="G114" s="518" t="s">
        <v>18</v>
      </c>
      <c r="H114" s="486">
        <v>51.84</v>
      </c>
      <c r="I114" s="320"/>
      <c r="J114" s="276"/>
      <c r="K114" s="276"/>
      <c r="L114" s="276">
        <v>2.2</v>
      </c>
      <c r="M114" s="276"/>
      <c r="N114" s="300">
        <v>2.2</v>
      </c>
      <c r="O114" s="424">
        <f aca="true" t="shared" si="30" ref="O114:O128">H114*I114</f>
        <v>0</v>
      </c>
      <c r="P114" s="277">
        <f aca="true" t="shared" si="31" ref="P114:P128">H114*K114</f>
        <v>0</v>
      </c>
      <c r="Q114" s="277">
        <f aca="true" t="shared" si="32" ref="Q114:Q128">H114*L114</f>
        <v>114.04800000000002</v>
      </c>
      <c r="R114" s="277">
        <f aca="true" t="shared" si="33" ref="R114:R128">H114*M114</f>
        <v>0</v>
      </c>
      <c r="S114" s="369">
        <f aca="true" t="shared" si="34" ref="S114:S128">P114+Q114+R114</f>
        <v>114.04800000000002</v>
      </c>
      <c r="T114" s="413"/>
      <c r="U114" s="275">
        <f t="shared" si="26"/>
        <v>0</v>
      </c>
      <c r="V114" s="275">
        <f t="shared" si="27"/>
        <v>0</v>
      </c>
      <c r="W114" s="275">
        <f t="shared" si="28"/>
        <v>0</v>
      </c>
      <c r="X114" s="280">
        <f t="shared" si="29"/>
        <v>0</v>
      </c>
      <c r="Y114" s="275">
        <v>0</v>
      </c>
      <c r="Z114" s="275">
        <v>0</v>
      </c>
      <c r="AA114" s="275">
        <f t="shared" si="20"/>
        <v>114.04800000000002</v>
      </c>
      <c r="AB114" s="815"/>
      <c r="AC114" s="330"/>
      <c r="AD114" s="581"/>
      <c r="AE114" s="581"/>
      <c r="AF114" s="582"/>
      <c r="AG114" s="266"/>
      <c r="AH114" s="266"/>
      <c r="AI114" s="266"/>
      <c r="AJ114" s="266"/>
      <c r="AK114" s="266"/>
      <c r="AL114" s="266"/>
      <c r="AM114" s="266"/>
      <c r="AN114" s="266"/>
      <c r="AO114" s="266"/>
      <c r="AP114" s="266"/>
      <c r="AQ114" s="266"/>
      <c r="AR114" s="266"/>
      <c r="AS114" s="266"/>
    </row>
    <row r="115" spans="1:45" s="79" customFormat="1" ht="15" customHeight="1">
      <c r="A115" s="281"/>
      <c r="B115" s="447"/>
      <c r="C115" s="518"/>
      <c r="D115" s="552"/>
      <c r="E115" s="370" t="s">
        <v>594</v>
      </c>
      <c r="F115" s="452" t="s">
        <v>565</v>
      </c>
      <c r="G115" s="518" t="s">
        <v>4</v>
      </c>
      <c r="H115" s="494">
        <v>159.36</v>
      </c>
      <c r="I115" s="320">
        <f>K115/J115</f>
        <v>0.6818181818181818</v>
      </c>
      <c r="J115" s="276">
        <v>2.2</v>
      </c>
      <c r="K115" s="276">
        <v>1.5</v>
      </c>
      <c r="L115" s="276">
        <v>0.55</v>
      </c>
      <c r="M115" s="276">
        <v>0.5</v>
      </c>
      <c r="N115" s="300">
        <v>3.2</v>
      </c>
      <c r="O115" s="424">
        <f>H115*I115</f>
        <v>108.65454545454546</v>
      </c>
      <c r="P115" s="277">
        <f>H115*K115</f>
        <v>239.04000000000002</v>
      </c>
      <c r="Q115" s="277">
        <f>H115*L115</f>
        <v>87.64800000000001</v>
      </c>
      <c r="R115" s="277">
        <f>H115*M115</f>
        <v>79.68</v>
      </c>
      <c r="S115" s="369">
        <f>P115+Q115+R115</f>
        <v>406.36800000000005</v>
      </c>
      <c r="T115" s="413"/>
      <c r="U115" s="275"/>
      <c r="V115" s="275"/>
      <c r="W115" s="275"/>
      <c r="X115" s="280"/>
      <c r="Y115" s="275"/>
      <c r="Z115" s="275"/>
      <c r="AA115" s="275"/>
      <c r="AB115" s="302"/>
      <c r="AC115" s="330"/>
      <c r="AD115" s="581"/>
      <c r="AE115" s="581"/>
      <c r="AF115" s="582"/>
      <c r="AG115" s="266"/>
      <c r="AH115" s="266"/>
      <c r="AI115" s="266"/>
      <c r="AJ115" s="266"/>
      <c r="AK115" s="266"/>
      <c r="AL115" s="266"/>
      <c r="AM115" s="266"/>
      <c r="AN115" s="266"/>
      <c r="AO115" s="266"/>
      <c r="AP115" s="266"/>
      <c r="AQ115" s="266"/>
      <c r="AR115" s="266"/>
      <c r="AS115" s="266"/>
    </row>
    <row r="116" spans="1:45" ht="24.75" customHeight="1">
      <c r="A116" s="281" t="s">
        <v>212</v>
      </c>
      <c r="B116" s="437" t="s">
        <v>207</v>
      </c>
      <c r="C116" s="521" t="s">
        <v>4</v>
      </c>
      <c r="D116" s="552">
        <v>172.8</v>
      </c>
      <c r="E116" s="370" t="s">
        <v>212</v>
      </c>
      <c r="F116" s="437" t="s">
        <v>207</v>
      </c>
      <c r="G116" s="521" t="s">
        <v>4</v>
      </c>
      <c r="H116" s="486">
        <v>159.36</v>
      </c>
      <c r="I116" s="320">
        <v>0.5681818181818181</v>
      </c>
      <c r="J116" s="277">
        <v>2.2</v>
      </c>
      <c r="K116" s="276">
        <v>1.25</v>
      </c>
      <c r="L116" s="276"/>
      <c r="M116" s="276">
        <v>0.05</v>
      </c>
      <c r="N116" s="300">
        <v>1.3</v>
      </c>
      <c r="O116" s="424">
        <f t="shared" si="30"/>
        <v>90.54545454545455</v>
      </c>
      <c r="P116" s="277">
        <f t="shared" si="31"/>
        <v>199.20000000000002</v>
      </c>
      <c r="Q116" s="277">
        <f t="shared" si="32"/>
        <v>0</v>
      </c>
      <c r="R116" s="277">
        <f t="shared" si="33"/>
        <v>7.968000000000001</v>
      </c>
      <c r="S116" s="369">
        <f t="shared" si="34"/>
        <v>207.168</v>
      </c>
      <c r="T116" s="413"/>
      <c r="U116" s="275">
        <f t="shared" si="26"/>
        <v>0</v>
      </c>
      <c r="V116" s="275">
        <f t="shared" si="27"/>
        <v>0</v>
      </c>
      <c r="W116" s="275">
        <f t="shared" si="28"/>
        <v>0</v>
      </c>
      <c r="X116" s="280">
        <f t="shared" si="29"/>
        <v>0</v>
      </c>
      <c r="Y116" s="275">
        <v>0</v>
      </c>
      <c r="Z116" s="275">
        <v>0</v>
      </c>
      <c r="AA116" s="275">
        <f aca="true" t="shared" si="35" ref="AA116:AA128">S116-Z116-X116</f>
        <v>207.168</v>
      </c>
      <c r="AB116" s="828" t="s">
        <v>432</v>
      </c>
      <c r="AC116" s="330"/>
      <c r="AD116" s="585"/>
      <c r="AE116" s="581"/>
      <c r="AF116" s="582"/>
      <c r="AG116" s="266"/>
      <c r="AH116" s="266"/>
      <c r="AI116" s="266"/>
      <c r="AJ116" s="266"/>
      <c r="AK116" s="266"/>
      <c r="AL116" s="266"/>
      <c r="AM116" s="266"/>
      <c r="AN116" s="266"/>
      <c r="AO116" s="266"/>
      <c r="AP116" s="266"/>
      <c r="AQ116" s="266"/>
      <c r="AR116" s="266"/>
      <c r="AS116" s="266"/>
    </row>
    <row r="117" spans="1:45" ht="15" customHeight="1">
      <c r="A117" s="281"/>
      <c r="B117" s="453" t="s">
        <v>312</v>
      </c>
      <c r="C117" s="521" t="s">
        <v>18</v>
      </c>
      <c r="D117" s="552">
        <v>43.2</v>
      </c>
      <c r="E117" s="370"/>
      <c r="F117" s="453" t="s">
        <v>312</v>
      </c>
      <c r="G117" s="521" t="s">
        <v>18</v>
      </c>
      <c r="H117" s="486">
        <v>43.2</v>
      </c>
      <c r="I117" s="320"/>
      <c r="J117" s="276"/>
      <c r="K117" s="276"/>
      <c r="L117" s="276">
        <v>6.45</v>
      </c>
      <c r="M117" s="276"/>
      <c r="N117" s="300">
        <v>6.45</v>
      </c>
      <c r="O117" s="424">
        <f t="shared" si="30"/>
        <v>0</v>
      </c>
      <c r="P117" s="277">
        <f t="shared" si="31"/>
        <v>0</v>
      </c>
      <c r="Q117" s="277">
        <f t="shared" si="32"/>
        <v>278.64000000000004</v>
      </c>
      <c r="R117" s="277">
        <f t="shared" si="33"/>
        <v>0</v>
      </c>
      <c r="S117" s="369">
        <f t="shared" si="34"/>
        <v>278.64000000000004</v>
      </c>
      <c r="T117" s="413"/>
      <c r="U117" s="275">
        <f t="shared" si="26"/>
        <v>0</v>
      </c>
      <c r="V117" s="275">
        <f t="shared" si="27"/>
        <v>0</v>
      </c>
      <c r="W117" s="275">
        <f t="shared" si="28"/>
        <v>0</v>
      </c>
      <c r="X117" s="280">
        <f t="shared" si="29"/>
        <v>0</v>
      </c>
      <c r="Y117" s="275">
        <v>0</v>
      </c>
      <c r="Z117" s="275">
        <v>0</v>
      </c>
      <c r="AA117" s="275">
        <f t="shared" si="35"/>
        <v>278.64000000000004</v>
      </c>
      <c r="AB117" s="822"/>
      <c r="AC117" s="836"/>
      <c r="AD117" s="581"/>
      <c r="AE117" s="581"/>
      <c r="AF117" s="582"/>
      <c r="AG117" s="266"/>
      <c r="AH117" s="266"/>
      <c r="AI117" s="266"/>
      <c r="AJ117" s="266"/>
      <c r="AK117" s="266"/>
      <c r="AL117" s="266"/>
      <c r="AM117" s="266"/>
      <c r="AN117" s="266"/>
      <c r="AO117" s="266"/>
      <c r="AP117" s="266"/>
      <c r="AQ117" s="266"/>
      <c r="AR117" s="266"/>
      <c r="AS117" s="266"/>
    </row>
    <row r="118" spans="1:45" ht="15" customHeight="1">
      <c r="A118" s="281" t="s">
        <v>214</v>
      </c>
      <c r="B118" s="341" t="s">
        <v>209</v>
      </c>
      <c r="C118" s="518" t="s">
        <v>3</v>
      </c>
      <c r="D118" s="552">
        <v>243.6</v>
      </c>
      <c r="E118" s="370" t="s">
        <v>480</v>
      </c>
      <c r="F118" s="341" t="s">
        <v>209</v>
      </c>
      <c r="G118" s="518" t="s">
        <v>3</v>
      </c>
      <c r="H118" s="486">
        <v>243.6</v>
      </c>
      <c r="I118" s="320">
        <v>1.27</v>
      </c>
      <c r="J118" s="277">
        <v>2.2</v>
      </c>
      <c r="K118" s="276">
        <v>2.8</v>
      </c>
      <c r="L118" s="276"/>
      <c r="M118" s="276">
        <v>0.2</v>
      </c>
      <c r="N118" s="300">
        <v>3</v>
      </c>
      <c r="O118" s="424">
        <f t="shared" si="30"/>
        <v>309.372</v>
      </c>
      <c r="P118" s="277">
        <f t="shared" si="31"/>
        <v>682.0799999999999</v>
      </c>
      <c r="Q118" s="277">
        <f t="shared" si="32"/>
        <v>0</v>
      </c>
      <c r="R118" s="277">
        <f t="shared" si="33"/>
        <v>48.72</v>
      </c>
      <c r="S118" s="369">
        <f t="shared" si="34"/>
        <v>730.8</v>
      </c>
      <c r="T118" s="413">
        <v>31.42</v>
      </c>
      <c r="U118" s="275">
        <f t="shared" si="26"/>
        <v>87.98</v>
      </c>
      <c r="V118" s="275">
        <f t="shared" si="27"/>
        <v>0</v>
      </c>
      <c r="W118" s="275">
        <f t="shared" si="28"/>
        <v>6.284000000000001</v>
      </c>
      <c r="X118" s="280">
        <f t="shared" si="29"/>
        <v>94.26400000000001</v>
      </c>
      <c r="Y118" s="275">
        <v>200</v>
      </c>
      <c r="Z118" s="275">
        <v>600</v>
      </c>
      <c r="AA118" s="275">
        <f t="shared" si="35"/>
        <v>36.535999999999945</v>
      </c>
      <c r="AB118" s="829"/>
      <c r="AC118" s="836"/>
      <c r="AD118" s="581"/>
      <c r="AE118" s="581"/>
      <c r="AF118" s="582"/>
      <c r="AG118" s="266"/>
      <c r="AH118" s="266"/>
      <c r="AI118" s="266"/>
      <c r="AJ118" s="266"/>
      <c r="AK118" s="266"/>
      <c r="AL118" s="266"/>
      <c r="AM118" s="266"/>
      <c r="AN118" s="266"/>
      <c r="AO118" s="266"/>
      <c r="AP118" s="266"/>
      <c r="AQ118" s="266"/>
      <c r="AR118" s="266"/>
      <c r="AS118" s="266"/>
    </row>
    <row r="119" spans="1:45" ht="15" customHeight="1">
      <c r="A119" s="281"/>
      <c r="B119" s="449" t="s">
        <v>210</v>
      </c>
      <c r="C119" s="518" t="s">
        <v>3</v>
      </c>
      <c r="D119" s="552">
        <v>133.665</v>
      </c>
      <c r="E119" s="370"/>
      <c r="F119" s="449" t="s">
        <v>210</v>
      </c>
      <c r="G119" s="518" t="s">
        <v>3</v>
      </c>
      <c r="H119" s="486">
        <f>H118*0.548727</f>
        <v>133.66989719999998</v>
      </c>
      <c r="I119" s="320"/>
      <c r="J119" s="276"/>
      <c r="K119" s="276"/>
      <c r="L119" s="276">
        <v>3.5</v>
      </c>
      <c r="M119" s="276"/>
      <c r="N119" s="300">
        <v>3.5</v>
      </c>
      <c r="O119" s="424">
        <f t="shared" si="30"/>
        <v>0</v>
      </c>
      <c r="P119" s="277">
        <f t="shared" si="31"/>
        <v>0</v>
      </c>
      <c r="Q119" s="277">
        <f t="shared" si="32"/>
        <v>467.84464019999996</v>
      </c>
      <c r="R119" s="277">
        <f t="shared" si="33"/>
        <v>0</v>
      </c>
      <c r="S119" s="369">
        <f t="shared" si="34"/>
        <v>467.84464019999996</v>
      </c>
      <c r="T119" s="294"/>
      <c r="U119" s="275"/>
      <c r="V119" s="275"/>
      <c r="W119" s="275"/>
      <c r="X119" s="275"/>
      <c r="Y119" s="275">
        <v>133.67</v>
      </c>
      <c r="Z119" s="275">
        <v>467.83</v>
      </c>
      <c r="AA119" s="275">
        <f t="shared" si="35"/>
        <v>0.014640199999973902</v>
      </c>
      <c r="AB119" s="823"/>
      <c r="AC119" s="836"/>
      <c r="AD119" s="581"/>
      <c r="AE119" s="581"/>
      <c r="AF119" s="582"/>
      <c r="AG119" s="266"/>
      <c r="AH119" s="266"/>
      <c r="AI119" s="266"/>
      <c r="AJ119" s="266"/>
      <c r="AK119" s="266"/>
      <c r="AL119" s="266"/>
      <c r="AM119" s="266"/>
      <c r="AN119" s="266"/>
      <c r="AO119" s="266"/>
      <c r="AP119" s="266"/>
      <c r="AQ119" s="266"/>
      <c r="AR119" s="266"/>
      <c r="AS119" s="266"/>
    </row>
    <row r="120" spans="1:45" ht="15" customHeight="1">
      <c r="A120" s="281"/>
      <c r="B120" s="449" t="s">
        <v>211</v>
      </c>
      <c r="C120" s="518" t="s">
        <v>3</v>
      </c>
      <c r="D120" s="552">
        <v>90.3</v>
      </c>
      <c r="E120" s="370"/>
      <c r="F120" s="449" t="s">
        <v>211</v>
      </c>
      <c r="G120" s="518" t="s">
        <v>3</v>
      </c>
      <c r="H120" s="486">
        <f>H118*0.370689</f>
        <v>90.2998404</v>
      </c>
      <c r="I120" s="320"/>
      <c r="J120" s="276"/>
      <c r="K120" s="276"/>
      <c r="L120" s="276">
        <v>3.5</v>
      </c>
      <c r="M120" s="276"/>
      <c r="N120" s="300">
        <v>3.5</v>
      </c>
      <c r="O120" s="424">
        <f t="shared" si="30"/>
        <v>0</v>
      </c>
      <c r="P120" s="277">
        <f t="shared" si="31"/>
        <v>0</v>
      </c>
      <c r="Q120" s="277">
        <f t="shared" si="32"/>
        <v>316.0494414</v>
      </c>
      <c r="R120" s="277">
        <f t="shared" si="33"/>
        <v>0</v>
      </c>
      <c r="S120" s="369">
        <f t="shared" si="34"/>
        <v>316.0494414</v>
      </c>
      <c r="T120" s="294"/>
      <c r="U120" s="275"/>
      <c r="V120" s="275"/>
      <c r="W120" s="275"/>
      <c r="X120" s="275"/>
      <c r="Y120" s="275">
        <v>90.3</v>
      </c>
      <c r="Z120" s="275">
        <v>316.05</v>
      </c>
      <c r="AA120" s="275">
        <f t="shared" si="35"/>
        <v>-0.0005586000000334934</v>
      </c>
      <c r="AB120" s="824"/>
      <c r="AC120" s="330"/>
      <c r="AD120" s="581"/>
      <c r="AE120" s="581"/>
      <c r="AF120" s="582"/>
      <c r="AG120" s="266"/>
      <c r="AH120" s="266"/>
      <c r="AI120" s="585"/>
      <c r="AJ120" s="266"/>
      <c r="AK120" s="266"/>
      <c r="AL120" s="266"/>
      <c r="AM120" s="266"/>
      <c r="AN120" s="266"/>
      <c r="AO120" s="266"/>
      <c r="AP120" s="266"/>
      <c r="AQ120" s="266"/>
      <c r="AR120" s="266"/>
      <c r="AS120" s="266"/>
    </row>
    <row r="121" spans="1:45" s="55" customFormat="1" ht="15.75" customHeight="1">
      <c r="A121" s="281"/>
      <c r="B121" s="441"/>
      <c r="C121" s="521"/>
      <c r="D121" s="552"/>
      <c r="E121" s="372" t="s">
        <v>595</v>
      </c>
      <c r="F121" s="454" t="s">
        <v>455</v>
      </c>
      <c r="G121" s="521" t="s">
        <v>6</v>
      </c>
      <c r="H121" s="486">
        <v>5.3</v>
      </c>
      <c r="I121" s="343">
        <f>K121/J121</f>
        <v>20.454545454545453</v>
      </c>
      <c r="J121" s="277">
        <v>2.2</v>
      </c>
      <c r="K121" s="277">
        <v>45</v>
      </c>
      <c r="L121" s="277">
        <v>53.5</v>
      </c>
      <c r="M121" s="277">
        <v>2.5</v>
      </c>
      <c r="N121" s="300">
        <f aca="true" t="shared" si="36" ref="N121:N126">K121+L121+M121</f>
        <v>101</v>
      </c>
      <c r="O121" s="424">
        <f t="shared" si="30"/>
        <v>108.40909090909089</v>
      </c>
      <c r="P121" s="277">
        <f t="shared" si="31"/>
        <v>238.5</v>
      </c>
      <c r="Q121" s="277">
        <f t="shared" si="32"/>
        <v>283.55</v>
      </c>
      <c r="R121" s="277">
        <f t="shared" si="33"/>
        <v>13.25</v>
      </c>
      <c r="S121" s="369">
        <f t="shared" si="34"/>
        <v>535.3</v>
      </c>
      <c r="T121" s="416"/>
      <c r="U121" s="267"/>
      <c r="V121" s="267"/>
      <c r="W121" s="267"/>
      <c r="X121" s="267"/>
      <c r="Y121" s="267"/>
      <c r="Z121" s="267"/>
      <c r="AA121" s="267"/>
      <c r="AB121" s="266"/>
      <c r="AC121" s="581"/>
      <c r="AD121" s="581"/>
      <c r="AE121" s="581"/>
      <c r="AF121" s="581"/>
      <c r="AG121" s="266"/>
      <c r="AH121" s="266"/>
      <c r="AI121" s="266"/>
      <c r="AJ121" s="266"/>
      <c r="AK121" s="266"/>
      <c r="AL121" s="266"/>
      <c r="AM121" s="266"/>
      <c r="AN121" s="266"/>
      <c r="AO121" s="266"/>
      <c r="AP121" s="266"/>
      <c r="AQ121" s="266"/>
      <c r="AR121" s="266"/>
      <c r="AS121" s="266"/>
    </row>
    <row r="122" spans="1:45" s="55" customFormat="1" ht="31.5" customHeight="1">
      <c r="A122" s="281"/>
      <c r="B122" s="469"/>
      <c r="C122" s="526"/>
      <c r="D122" s="557"/>
      <c r="E122" s="376" t="s">
        <v>596</v>
      </c>
      <c r="F122" s="455" t="s">
        <v>584</v>
      </c>
      <c r="G122" s="526" t="s">
        <v>4</v>
      </c>
      <c r="H122" s="495">
        <f>2.1*1.5*2*1.2*4</f>
        <v>30.240000000000002</v>
      </c>
      <c r="I122" s="359">
        <v>2.72</v>
      </c>
      <c r="J122" s="307">
        <v>2.2</v>
      </c>
      <c r="K122" s="306">
        <f>I122*J122</f>
        <v>5.984000000000001</v>
      </c>
      <c r="L122" s="306"/>
      <c r="M122" s="306">
        <v>0.25</v>
      </c>
      <c r="N122" s="301">
        <f t="shared" si="36"/>
        <v>6.234000000000001</v>
      </c>
      <c r="O122" s="424">
        <f t="shared" si="30"/>
        <v>82.25280000000001</v>
      </c>
      <c r="P122" s="277">
        <f t="shared" si="31"/>
        <v>180.95616000000004</v>
      </c>
      <c r="Q122" s="277">
        <f t="shared" si="32"/>
        <v>0</v>
      </c>
      <c r="R122" s="277">
        <f t="shared" si="33"/>
        <v>7.5600000000000005</v>
      </c>
      <c r="S122" s="369">
        <f t="shared" si="34"/>
        <v>188.51616000000004</v>
      </c>
      <c r="T122" s="266"/>
      <c r="U122" s="266"/>
      <c r="V122" s="266"/>
      <c r="W122" s="266"/>
      <c r="X122" s="266"/>
      <c r="Y122" s="266"/>
      <c r="Z122" s="266"/>
      <c r="AA122" s="266"/>
      <c r="AB122" s="266"/>
      <c r="AC122" s="581"/>
      <c r="AD122" s="581"/>
      <c r="AE122" s="581"/>
      <c r="AF122" s="581"/>
      <c r="AG122" s="266"/>
      <c r="AH122" s="266"/>
      <c r="AI122" s="266"/>
      <c r="AJ122" s="266"/>
      <c r="AK122" s="266"/>
      <c r="AL122" s="266"/>
      <c r="AM122" s="266"/>
      <c r="AN122" s="266"/>
      <c r="AO122" s="266"/>
      <c r="AP122" s="266"/>
      <c r="AQ122" s="266"/>
      <c r="AR122" s="266"/>
      <c r="AS122" s="266"/>
    </row>
    <row r="123" spans="1:45" s="55" customFormat="1" ht="14.25" customHeight="1">
      <c r="A123" s="281"/>
      <c r="B123" s="545"/>
      <c r="C123" s="526"/>
      <c r="D123" s="557"/>
      <c r="E123" s="376"/>
      <c r="F123" s="456" t="s">
        <v>464</v>
      </c>
      <c r="G123" s="526" t="s">
        <v>4</v>
      </c>
      <c r="H123" s="495">
        <v>1.2</v>
      </c>
      <c r="I123" s="359"/>
      <c r="J123" s="307"/>
      <c r="K123" s="306"/>
      <c r="L123" s="306">
        <v>1.5</v>
      </c>
      <c r="M123" s="306"/>
      <c r="N123" s="301">
        <f t="shared" si="36"/>
        <v>1.5</v>
      </c>
      <c r="O123" s="424">
        <f t="shared" si="30"/>
        <v>0</v>
      </c>
      <c r="P123" s="277">
        <f t="shared" si="31"/>
        <v>0</v>
      </c>
      <c r="Q123" s="277">
        <f t="shared" si="32"/>
        <v>1.7999999999999998</v>
      </c>
      <c r="R123" s="277">
        <f t="shared" si="33"/>
        <v>0</v>
      </c>
      <c r="S123" s="369">
        <f t="shared" si="34"/>
        <v>1.7999999999999998</v>
      </c>
      <c r="T123" s="266"/>
      <c r="U123" s="266"/>
      <c r="V123" s="266"/>
      <c r="W123" s="266"/>
      <c r="X123" s="266"/>
      <c r="Y123" s="266"/>
      <c r="Z123" s="266"/>
      <c r="AA123" s="266"/>
      <c r="AB123" s="266"/>
      <c r="AC123" s="581"/>
      <c r="AD123" s="581"/>
      <c r="AE123" s="581"/>
      <c r="AF123" s="581"/>
      <c r="AG123" s="266"/>
      <c r="AH123" s="266"/>
      <c r="AI123" s="266"/>
      <c r="AJ123" s="266"/>
      <c r="AK123" s="266"/>
      <c r="AL123" s="266"/>
      <c r="AM123" s="266"/>
      <c r="AN123" s="266"/>
      <c r="AO123" s="266"/>
      <c r="AP123" s="266"/>
      <c r="AQ123" s="266"/>
      <c r="AR123" s="266"/>
      <c r="AS123" s="266"/>
    </row>
    <row r="124" spans="1:45" s="55" customFormat="1" ht="14.25" customHeight="1">
      <c r="A124" s="281"/>
      <c r="B124" s="545"/>
      <c r="C124" s="526"/>
      <c r="D124" s="557"/>
      <c r="E124" s="376"/>
      <c r="F124" s="456" t="s">
        <v>463</v>
      </c>
      <c r="G124" s="526" t="s">
        <v>25</v>
      </c>
      <c r="H124" s="495">
        <f>H122*0.15</f>
        <v>4.5360000000000005</v>
      </c>
      <c r="I124" s="359"/>
      <c r="J124" s="307"/>
      <c r="K124" s="306"/>
      <c r="L124" s="306">
        <v>3.5</v>
      </c>
      <c r="M124" s="306"/>
      <c r="N124" s="301">
        <f t="shared" si="36"/>
        <v>3.5</v>
      </c>
      <c r="O124" s="424">
        <f t="shared" si="30"/>
        <v>0</v>
      </c>
      <c r="P124" s="277">
        <f t="shared" si="31"/>
        <v>0</v>
      </c>
      <c r="Q124" s="277">
        <f t="shared" si="32"/>
        <v>15.876000000000001</v>
      </c>
      <c r="R124" s="277">
        <f t="shared" si="33"/>
        <v>0</v>
      </c>
      <c r="S124" s="369">
        <f t="shared" si="34"/>
        <v>15.876000000000001</v>
      </c>
      <c r="T124" s="266"/>
      <c r="U124" s="266"/>
      <c r="V124" s="266"/>
      <c r="W124" s="266"/>
      <c r="X124" s="266"/>
      <c r="Y124" s="266"/>
      <c r="Z124" s="266"/>
      <c r="AA124" s="266"/>
      <c r="AB124" s="266"/>
      <c r="AC124" s="581"/>
      <c r="AD124" s="581"/>
      <c r="AE124" s="581"/>
      <c r="AF124" s="581"/>
      <c r="AG124" s="266"/>
      <c r="AH124" s="266"/>
      <c r="AI124" s="266"/>
      <c r="AJ124" s="266"/>
      <c r="AK124" s="266"/>
      <c r="AL124" s="266"/>
      <c r="AM124" s="266"/>
      <c r="AN124" s="266"/>
      <c r="AO124" s="266"/>
      <c r="AP124" s="266"/>
      <c r="AQ124" s="266"/>
      <c r="AR124" s="266"/>
      <c r="AS124" s="266"/>
    </row>
    <row r="125" spans="1:45" s="55" customFormat="1" ht="14.25" customHeight="1">
      <c r="A125" s="281"/>
      <c r="B125" s="451"/>
      <c r="C125" s="521"/>
      <c r="D125" s="552"/>
      <c r="E125" s="372"/>
      <c r="F125" s="457" t="s">
        <v>461</v>
      </c>
      <c r="G125" s="521" t="s">
        <v>18</v>
      </c>
      <c r="H125" s="486">
        <v>3</v>
      </c>
      <c r="I125" s="320"/>
      <c r="J125" s="277"/>
      <c r="K125" s="276"/>
      <c r="L125" s="306">
        <v>6.5</v>
      </c>
      <c r="M125" s="306"/>
      <c r="N125" s="301">
        <f t="shared" si="36"/>
        <v>6.5</v>
      </c>
      <c r="O125" s="424">
        <f t="shared" si="30"/>
        <v>0</v>
      </c>
      <c r="P125" s="277">
        <f t="shared" si="31"/>
        <v>0</v>
      </c>
      <c r="Q125" s="277">
        <f t="shared" si="32"/>
        <v>19.5</v>
      </c>
      <c r="R125" s="277">
        <f t="shared" si="33"/>
        <v>0</v>
      </c>
      <c r="S125" s="369">
        <f t="shared" si="34"/>
        <v>19.5</v>
      </c>
      <c r="T125" s="266"/>
      <c r="U125" s="266"/>
      <c r="V125" s="266"/>
      <c r="W125" s="266"/>
      <c r="X125" s="266"/>
      <c r="Y125" s="266"/>
      <c r="Z125" s="266"/>
      <c r="AA125" s="266"/>
      <c r="AB125" s="266"/>
      <c r="AC125" s="581"/>
      <c r="AD125" s="581"/>
      <c r="AE125" s="581"/>
      <c r="AF125" s="581"/>
      <c r="AG125" s="266"/>
      <c r="AH125" s="266"/>
      <c r="AI125" s="266"/>
      <c r="AJ125" s="266"/>
      <c r="AK125" s="266"/>
      <c r="AL125" s="266"/>
      <c r="AM125" s="266"/>
      <c r="AN125" s="266"/>
      <c r="AO125" s="266"/>
      <c r="AP125" s="266"/>
      <c r="AQ125" s="266"/>
      <c r="AR125" s="266"/>
      <c r="AS125" s="266"/>
    </row>
    <row r="126" spans="1:45" s="55" customFormat="1" ht="14.25" customHeight="1">
      <c r="A126" s="281"/>
      <c r="B126" s="451"/>
      <c r="C126" s="521"/>
      <c r="D126" s="552"/>
      <c r="E126" s="372"/>
      <c r="F126" s="457" t="s">
        <v>462</v>
      </c>
      <c r="G126" s="521" t="s">
        <v>18</v>
      </c>
      <c r="H126" s="486">
        <f>H122*0.35</f>
        <v>10.584</v>
      </c>
      <c r="I126" s="320"/>
      <c r="J126" s="277"/>
      <c r="K126" s="276"/>
      <c r="L126" s="306">
        <v>12.5</v>
      </c>
      <c r="M126" s="306"/>
      <c r="N126" s="301">
        <f t="shared" si="36"/>
        <v>12.5</v>
      </c>
      <c r="O126" s="424">
        <f t="shared" si="30"/>
        <v>0</v>
      </c>
      <c r="P126" s="277">
        <f t="shared" si="31"/>
        <v>0</v>
      </c>
      <c r="Q126" s="277">
        <f t="shared" si="32"/>
        <v>132.29999999999998</v>
      </c>
      <c r="R126" s="277">
        <f t="shared" si="33"/>
        <v>0</v>
      </c>
      <c r="S126" s="369">
        <f t="shared" si="34"/>
        <v>132.29999999999998</v>
      </c>
      <c r="T126" s="266"/>
      <c r="U126" s="266"/>
      <c r="V126" s="266"/>
      <c r="W126" s="266"/>
      <c r="X126" s="266"/>
      <c r="Y126" s="266"/>
      <c r="Z126" s="266"/>
      <c r="AA126" s="266"/>
      <c r="AB126" s="266"/>
      <c r="AC126" s="581"/>
      <c r="AD126" s="581"/>
      <c r="AE126" s="581"/>
      <c r="AF126" s="581"/>
      <c r="AG126" s="266"/>
      <c r="AH126" s="266"/>
      <c r="AI126" s="266"/>
      <c r="AJ126" s="266"/>
      <c r="AK126" s="266"/>
      <c r="AL126" s="266"/>
      <c r="AM126" s="266"/>
      <c r="AN126" s="266"/>
      <c r="AO126" s="266"/>
      <c r="AP126" s="266"/>
      <c r="AQ126" s="266"/>
      <c r="AR126" s="266"/>
      <c r="AS126" s="266"/>
    </row>
    <row r="127" spans="1:45" ht="27.75" customHeight="1">
      <c r="A127" s="281" t="s">
        <v>215</v>
      </c>
      <c r="B127" s="442" t="s">
        <v>213</v>
      </c>
      <c r="C127" s="521" t="s">
        <v>4</v>
      </c>
      <c r="D127" s="552">
        <v>1400</v>
      </c>
      <c r="E127" s="370" t="s">
        <v>215</v>
      </c>
      <c r="F127" s="442" t="s">
        <v>213</v>
      </c>
      <c r="G127" s="521" t="s">
        <v>4</v>
      </c>
      <c r="H127" s="486">
        <v>1400</v>
      </c>
      <c r="I127" s="320">
        <v>0.5454545454545454</v>
      </c>
      <c r="J127" s="277">
        <v>2.2</v>
      </c>
      <c r="K127" s="276">
        <v>1.2</v>
      </c>
      <c r="L127" s="276">
        <v>0.55</v>
      </c>
      <c r="M127" s="276">
        <v>0.1</v>
      </c>
      <c r="N127" s="300">
        <v>1.85</v>
      </c>
      <c r="O127" s="424">
        <f t="shared" si="30"/>
        <v>763.6363636363636</v>
      </c>
      <c r="P127" s="277">
        <f t="shared" si="31"/>
        <v>1680</v>
      </c>
      <c r="Q127" s="277">
        <f t="shared" si="32"/>
        <v>770.0000000000001</v>
      </c>
      <c r="R127" s="277">
        <f t="shared" si="33"/>
        <v>140</v>
      </c>
      <c r="S127" s="369">
        <f t="shared" si="34"/>
        <v>2590</v>
      </c>
      <c r="T127" s="294">
        <v>265</v>
      </c>
      <c r="U127" s="275">
        <f>ROUND(T127*K127,2)</f>
        <v>318</v>
      </c>
      <c r="V127" s="275">
        <f>ROUND(T127*L127,2)</f>
        <v>145.75</v>
      </c>
      <c r="W127" s="275">
        <f>T127*M127</f>
        <v>26.5</v>
      </c>
      <c r="X127" s="280">
        <f>U127+V127+W127</f>
        <v>490.25</v>
      </c>
      <c r="Y127" s="275">
        <v>1135</v>
      </c>
      <c r="Z127" s="275">
        <v>2099.75</v>
      </c>
      <c r="AA127" s="275">
        <f t="shared" si="35"/>
        <v>0</v>
      </c>
      <c r="AB127" s="301"/>
      <c r="AC127" s="330"/>
      <c r="AD127" s="581"/>
      <c r="AE127" s="581"/>
      <c r="AF127" s="582"/>
      <c r="AG127" s="266"/>
      <c r="AH127" s="266"/>
      <c r="AI127" s="266"/>
      <c r="AJ127" s="266"/>
      <c r="AK127" s="266"/>
      <c r="AL127" s="266"/>
      <c r="AM127" s="266"/>
      <c r="AN127" s="266"/>
      <c r="AO127" s="266"/>
      <c r="AP127" s="266"/>
      <c r="AQ127" s="266"/>
      <c r="AR127" s="266"/>
      <c r="AS127" s="266"/>
    </row>
    <row r="128" spans="1:45" ht="15" customHeight="1" thickBot="1">
      <c r="A128" s="281" t="s">
        <v>31</v>
      </c>
      <c r="B128" s="447" t="s">
        <v>216</v>
      </c>
      <c r="C128" s="518" t="s">
        <v>4</v>
      </c>
      <c r="D128" s="552">
        <v>1400</v>
      </c>
      <c r="E128" s="370" t="s">
        <v>31</v>
      </c>
      <c r="F128" s="447" t="s">
        <v>216</v>
      </c>
      <c r="G128" s="518" t="s">
        <v>4</v>
      </c>
      <c r="H128" s="486">
        <v>1400</v>
      </c>
      <c r="I128" s="320"/>
      <c r="J128" s="276"/>
      <c r="K128" s="276"/>
      <c r="L128" s="276"/>
      <c r="M128" s="276">
        <v>1.2</v>
      </c>
      <c r="N128" s="371">
        <v>1.2</v>
      </c>
      <c r="O128" s="424">
        <f t="shared" si="30"/>
        <v>0</v>
      </c>
      <c r="P128" s="277">
        <f t="shared" si="31"/>
        <v>0</v>
      </c>
      <c r="Q128" s="277">
        <f t="shared" si="32"/>
        <v>0</v>
      </c>
      <c r="R128" s="277">
        <f t="shared" si="33"/>
        <v>1680</v>
      </c>
      <c r="S128" s="369">
        <f t="shared" si="34"/>
        <v>1680</v>
      </c>
      <c r="T128" s="358">
        <v>198.33</v>
      </c>
      <c r="U128" s="285"/>
      <c r="V128" s="285"/>
      <c r="W128" s="285">
        <f>T128*M128</f>
        <v>237.996</v>
      </c>
      <c r="X128" s="285">
        <f>W128</f>
        <v>237.996</v>
      </c>
      <c r="Y128" s="285">
        <v>1035</v>
      </c>
      <c r="Z128" s="285">
        <v>1442</v>
      </c>
      <c r="AA128" s="285">
        <f t="shared" si="35"/>
        <v>0.003999999999990678</v>
      </c>
      <c r="AB128" s="303"/>
      <c r="AC128" s="330"/>
      <c r="AD128" s="581"/>
      <c r="AE128" s="581"/>
      <c r="AF128" s="582"/>
      <c r="AG128" s="266"/>
      <c r="AH128" s="266"/>
      <c r="AI128" s="266"/>
      <c r="AJ128" s="266"/>
      <c r="AK128" s="266"/>
      <c r="AL128" s="266"/>
      <c r="AM128" s="266"/>
      <c r="AN128" s="266"/>
      <c r="AO128" s="266"/>
      <c r="AP128" s="266"/>
      <c r="AQ128" s="266"/>
      <c r="AR128" s="266"/>
      <c r="AS128" s="266"/>
    </row>
    <row r="129" spans="1:45" ht="15" customHeight="1" thickBot="1">
      <c r="A129" s="284"/>
      <c r="B129" s="308"/>
      <c r="C129" s="696"/>
      <c r="D129" s="558"/>
      <c r="E129" s="702" t="s">
        <v>582</v>
      </c>
      <c r="F129" s="692" t="s">
        <v>429</v>
      </c>
      <c r="G129" s="693" t="s">
        <v>430</v>
      </c>
      <c r="H129" s="694">
        <v>1</v>
      </c>
      <c r="I129" s="695"/>
      <c r="J129" s="337"/>
      <c r="K129" s="338">
        <v>150</v>
      </c>
      <c r="L129" s="338">
        <v>150</v>
      </c>
      <c r="M129" s="338">
        <v>31</v>
      </c>
      <c r="N129" s="339">
        <v>331</v>
      </c>
      <c r="O129" s="425"/>
      <c r="P129" s="286">
        <v>150</v>
      </c>
      <c r="Q129" s="287">
        <v>150</v>
      </c>
      <c r="R129" s="287">
        <v>31</v>
      </c>
      <c r="S129" s="378">
        <v>331</v>
      </c>
      <c r="T129" s="363">
        <v>0</v>
      </c>
      <c r="U129" s="287">
        <v>331</v>
      </c>
      <c r="V129" s="336"/>
      <c r="W129" s="336"/>
      <c r="X129" s="336"/>
      <c r="Y129" s="336"/>
      <c r="Z129" s="336"/>
      <c r="AA129" s="336"/>
      <c r="AB129" s="302"/>
      <c r="AC129" s="330"/>
      <c r="AD129" s="581"/>
      <c r="AE129" s="581"/>
      <c r="AF129" s="582"/>
      <c r="AG129" s="266"/>
      <c r="AH129" s="266"/>
      <c r="AI129" s="266"/>
      <c r="AJ129" s="266"/>
      <c r="AK129" s="266"/>
      <c r="AL129" s="266"/>
      <c r="AM129" s="266"/>
      <c r="AN129" s="266"/>
      <c r="AO129" s="266"/>
      <c r="AP129" s="266"/>
      <c r="AQ129" s="266"/>
      <c r="AR129" s="266"/>
      <c r="AS129" s="266"/>
    </row>
    <row r="130" spans="1:45" ht="15" customHeight="1" thickBot="1">
      <c r="A130" s="574"/>
      <c r="B130" s="697" t="s">
        <v>37</v>
      </c>
      <c r="C130" s="528"/>
      <c r="D130" s="559"/>
      <c r="E130" s="670"/>
      <c r="F130" s="459"/>
      <c r="G130" s="528"/>
      <c r="H130" s="498"/>
      <c r="I130" s="361"/>
      <c r="J130" s="310"/>
      <c r="K130" s="310"/>
      <c r="L130" s="310"/>
      <c r="M130" s="310"/>
      <c r="N130" s="311"/>
      <c r="O130" s="426">
        <f>SUM(O38:O129)</f>
        <v>6723.588209090912</v>
      </c>
      <c r="P130" s="310">
        <f>SUM(P38:P129)</f>
        <v>15218.035660000005</v>
      </c>
      <c r="Q130" s="310">
        <f>SUM(Q38:Q129)</f>
        <v>20803.198275286642</v>
      </c>
      <c r="R130" s="310">
        <f>SUM(R38:R129)</f>
        <v>2961.59025</v>
      </c>
      <c r="S130" s="427">
        <f>SUM(S38:S129)</f>
        <v>38982.82418528664</v>
      </c>
      <c r="T130" s="361">
        <f aca="true" t="shared" si="37" ref="T130:AB130">SUM(T38:T128)</f>
        <v>5074.7</v>
      </c>
      <c r="U130" s="310">
        <f t="shared" si="37"/>
        <v>968.27</v>
      </c>
      <c r="V130" s="310">
        <f t="shared" si="37"/>
        <v>986.745</v>
      </c>
      <c r="W130" s="310">
        <f t="shared" si="37"/>
        <v>325.3575</v>
      </c>
      <c r="X130" s="310">
        <f t="shared" si="37"/>
        <v>2280.3775</v>
      </c>
      <c r="Y130" s="310">
        <f t="shared" si="37"/>
        <v>36500.08678887501</v>
      </c>
      <c r="Z130" s="310">
        <f t="shared" si="37"/>
        <v>30262.112</v>
      </c>
      <c r="AA130" s="310">
        <f t="shared" si="37"/>
        <v>3763.7418052866374</v>
      </c>
      <c r="AB130" s="311">
        <f t="shared" si="37"/>
        <v>0</v>
      </c>
      <c r="AC130" s="586"/>
      <c r="AD130" s="586"/>
      <c r="AE130" s="330"/>
      <c r="AF130" s="582"/>
      <c r="AG130" s="266"/>
      <c r="AH130" s="266"/>
      <c r="AI130" s="266"/>
      <c r="AJ130" s="266"/>
      <c r="AK130" s="266"/>
      <c r="AL130" s="266"/>
      <c r="AM130" s="266"/>
      <c r="AN130" s="266"/>
      <c r="AO130" s="266"/>
      <c r="AP130" s="266"/>
      <c r="AQ130" s="266"/>
      <c r="AR130" s="266"/>
      <c r="AS130" s="266"/>
    </row>
    <row r="131" spans="1:45" ht="81.75" customHeight="1">
      <c r="A131" s="312" t="s">
        <v>93</v>
      </c>
      <c r="B131" s="460" t="s">
        <v>150</v>
      </c>
      <c r="C131" s="529" t="s">
        <v>4</v>
      </c>
      <c r="D131" s="560">
        <v>196</v>
      </c>
      <c r="E131" s="379" t="s">
        <v>93</v>
      </c>
      <c r="F131" s="460" t="s">
        <v>150</v>
      </c>
      <c r="G131" s="529" t="s">
        <v>4</v>
      </c>
      <c r="H131" s="499">
        <v>228.22</v>
      </c>
      <c r="I131" s="362"/>
      <c r="J131" s="314"/>
      <c r="K131" s="314"/>
      <c r="L131" s="314"/>
      <c r="M131" s="314"/>
      <c r="N131" s="303"/>
      <c r="O131" s="428"/>
      <c r="P131" s="314"/>
      <c r="Q131" s="314"/>
      <c r="R131" s="314"/>
      <c r="S131" s="391"/>
      <c r="T131" s="316"/>
      <c r="U131" s="315"/>
      <c r="V131" s="316"/>
      <c r="W131" s="289"/>
      <c r="X131" s="289"/>
      <c r="Y131" s="289"/>
      <c r="Z131" s="289"/>
      <c r="AA131" s="289"/>
      <c r="AB131" s="301" t="s">
        <v>432</v>
      </c>
      <c r="AC131" s="581"/>
      <c r="AD131" s="581"/>
      <c r="AE131" s="581"/>
      <c r="AF131" s="582"/>
      <c r="AG131" s="266"/>
      <c r="AH131" s="266"/>
      <c r="AI131" s="266"/>
      <c r="AJ131" s="266"/>
      <c r="AK131" s="266"/>
      <c r="AL131" s="266"/>
      <c r="AM131" s="266"/>
      <c r="AN131" s="266"/>
      <c r="AO131" s="266"/>
      <c r="AP131" s="266"/>
      <c r="AQ131" s="266"/>
      <c r="AR131" s="266"/>
      <c r="AS131" s="266"/>
    </row>
    <row r="132" spans="1:45" ht="40.5" customHeight="1">
      <c r="A132" s="282" t="s">
        <v>59</v>
      </c>
      <c r="B132" s="437" t="s">
        <v>49</v>
      </c>
      <c r="C132" s="519" t="s">
        <v>346</v>
      </c>
      <c r="D132" s="553">
        <v>34</v>
      </c>
      <c r="E132" s="375" t="s">
        <v>59</v>
      </c>
      <c r="F132" s="437" t="s">
        <v>49</v>
      </c>
      <c r="G132" s="520" t="s">
        <v>4</v>
      </c>
      <c r="H132" s="489">
        <f>34/196*H131</f>
        <v>39.589183673469385</v>
      </c>
      <c r="I132" s="320">
        <v>0.9090909090909091</v>
      </c>
      <c r="J132" s="277">
        <v>2.2</v>
      </c>
      <c r="K132" s="276">
        <v>2</v>
      </c>
      <c r="L132" s="276"/>
      <c r="M132" s="276">
        <v>2.5</v>
      </c>
      <c r="N132" s="300">
        <v>4.5</v>
      </c>
      <c r="O132" s="424">
        <f aca="true" t="shared" si="38" ref="O132:O156">H132*I132</f>
        <v>35.99016697588126</v>
      </c>
      <c r="P132" s="277">
        <f aca="true" t="shared" si="39" ref="P132:P156">H132*K132</f>
        <v>79.17836734693877</v>
      </c>
      <c r="Q132" s="277">
        <f aca="true" t="shared" si="40" ref="Q132:Q156">H132*L132</f>
        <v>0</v>
      </c>
      <c r="R132" s="277">
        <f aca="true" t="shared" si="41" ref="R132:R156">H132*M132</f>
        <v>98.97295918367347</v>
      </c>
      <c r="S132" s="369">
        <f aca="true" t="shared" si="42" ref="S132:S156">P132+Q132+R132</f>
        <v>178.15132653061224</v>
      </c>
      <c r="T132" s="294"/>
      <c r="U132" s="275">
        <v>0</v>
      </c>
      <c r="V132" s="275">
        <v>0</v>
      </c>
      <c r="W132" s="275">
        <v>0</v>
      </c>
      <c r="X132" s="275">
        <v>0</v>
      </c>
      <c r="Y132" s="275">
        <v>0</v>
      </c>
      <c r="Z132" s="275">
        <v>0</v>
      </c>
      <c r="AA132" s="275">
        <f aca="true" t="shared" si="43" ref="AA132:AA156">S132-Z132</f>
        <v>178.15132653061224</v>
      </c>
      <c r="AB132" s="302"/>
      <c r="AC132" s="581"/>
      <c r="AD132" s="581"/>
      <c r="AE132" s="581"/>
      <c r="AF132" s="582"/>
      <c r="AG132" s="278"/>
      <c r="AH132" s="266"/>
      <c r="AI132" s="266"/>
      <c r="AJ132" s="266"/>
      <c r="AK132" s="266"/>
      <c r="AL132" s="266"/>
      <c r="AM132" s="266"/>
      <c r="AN132" s="266"/>
      <c r="AO132" s="266"/>
      <c r="AP132" s="266"/>
      <c r="AQ132" s="266"/>
      <c r="AR132" s="266"/>
      <c r="AS132" s="266"/>
    </row>
    <row r="133" spans="1:45" ht="28.5" customHeight="1">
      <c r="A133" s="281" t="s">
        <v>60</v>
      </c>
      <c r="B133" s="442" t="s">
        <v>51</v>
      </c>
      <c r="C133" s="519" t="s">
        <v>6</v>
      </c>
      <c r="D133" s="553">
        <v>34</v>
      </c>
      <c r="E133" s="370" t="s">
        <v>60</v>
      </c>
      <c r="F133" s="442" t="s">
        <v>51</v>
      </c>
      <c r="G133" s="519" t="s">
        <v>6</v>
      </c>
      <c r="H133" s="489">
        <f>34/196*H131</f>
        <v>39.589183673469385</v>
      </c>
      <c r="I133" s="320">
        <v>0.45454545454545453</v>
      </c>
      <c r="J133" s="277">
        <v>2.2</v>
      </c>
      <c r="K133" s="276">
        <v>1</v>
      </c>
      <c r="L133" s="276"/>
      <c r="M133" s="276">
        <v>3</v>
      </c>
      <c r="N133" s="300">
        <v>4</v>
      </c>
      <c r="O133" s="424">
        <f t="shared" si="38"/>
        <v>17.99508348794063</v>
      </c>
      <c r="P133" s="277">
        <f t="shared" si="39"/>
        <v>39.589183673469385</v>
      </c>
      <c r="Q133" s="277">
        <f t="shared" si="40"/>
        <v>0</v>
      </c>
      <c r="R133" s="277">
        <f t="shared" si="41"/>
        <v>118.76755102040815</v>
      </c>
      <c r="S133" s="369">
        <f t="shared" si="42"/>
        <v>158.35673469387754</v>
      </c>
      <c r="T133" s="294"/>
      <c r="U133" s="275">
        <v>0</v>
      </c>
      <c r="V133" s="275">
        <v>0</v>
      </c>
      <c r="W133" s="275">
        <v>0</v>
      </c>
      <c r="X133" s="275">
        <v>0</v>
      </c>
      <c r="Y133" s="275">
        <v>0</v>
      </c>
      <c r="Z133" s="275">
        <v>0</v>
      </c>
      <c r="AA133" s="275">
        <f t="shared" si="43"/>
        <v>158.35673469387754</v>
      </c>
      <c r="AB133" s="302"/>
      <c r="AC133" s="581"/>
      <c r="AD133" s="581"/>
      <c r="AE133" s="581"/>
      <c r="AF133" s="582"/>
      <c r="AG133" s="278"/>
      <c r="AH133" s="266"/>
      <c r="AI133" s="266"/>
      <c r="AJ133" s="266"/>
      <c r="AK133" s="266"/>
      <c r="AL133" s="266"/>
      <c r="AM133" s="266"/>
      <c r="AN133" s="266"/>
      <c r="AO133" s="266"/>
      <c r="AP133" s="266"/>
      <c r="AQ133" s="266"/>
      <c r="AR133" s="266"/>
      <c r="AS133" s="266"/>
    </row>
    <row r="134" spans="1:45" ht="15" customHeight="1">
      <c r="A134" s="281" t="s">
        <v>61</v>
      </c>
      <c r="B134" s="442" t="s">
        <v>15</v>
      </c>
      <c r="C134" s="524" t="s">
        <v>4</v>
      </c>
      <c r="D134" s="552">
        <v>196</v>
      </c>
      <c r="E134" s="370" t="s">
        <v>61</v>
      </c>
      <c r="F134" s="442" t="s">
        <v>15</v>
      </c>
      <c r="G134" s="524" t="s">
        <v>4</v>
      </c>
      <c r="H134" s="490">
        <f>H131</f>
        <v>228.22</v>
      </c>
      <c r="I134" s="320">
        <v>0.022727272727272728</v>
      </c>
      <c r="J134" s="277">
        <v>2.2</v>
      </c>
      <c r="K134" s="276">
        <v>0.05</v>
      </c>
      <c r="L134" s="276"/>
      <c r="M134" s="276">
        <v>0.05</v>
      </c>
      <c r="N134" s="300">
        <v>0.1</v>
      </c>
      <c r="O134" s="424">
        <f t="shared" si="38"/>
        <v>5.1868181818181816</v>
      </c>
      <c r="P134" s="277">
        <f t="shared" si="39"/>
        <v>11.411000000000001</v>
      </c>
      <c r="Q134" s="277">
        <f t="shared" si="40"/>
        <v>0</v>
      </c>
      <c r="R134" s="277">
        <f t="shared" si="41"/>
        <v>11.411000000000001</v>
      </c>
      <c r="S134" s="369">
        <f t="shared" si="42"/>
        <v>22.822000000000003</v>
      </c>
      <c r="T134" s="294"/>
      <c r="U134" s="275">
        <v>0</v>
      </c>
      <c r="V134" s="275">
        <v>0</v>
      </c>
      <c r="W134" s="275">
        <v>0</v>
      </c>
      <c r="X134" s="275">
        <v>0</v>
      </c>
      <c r="Y134" s="275">
        <v>0</v>
      </c>
      <c r="Z134" s="275">
        <v>0</v>
      </c>
      <c r="AA134" s="275">
        <f t="shared" si="43"/>
        <v>22.822000000000003</v>
      </c>
      <c r="AB134" s="302"/>
      <c r="AC134" s="581"/>
      <c r="AD134" s="581"/>
      <c r="AE134" s="581"/>
      <c r="AF134" s="582"/>
      <c r="AG134" s="278"/>
      <c r="AH134" s="266"/>
      <c r="AI134" s="266"/>
      <c r="AJ134" s="266"/>
      <c r="AK134" s="266"/>
      <c r="AL134" s="266"/>
      <c r="AM134" s="266"/>
      <c r="AN134" s="266"/>
      <c r="AO134" s="266"/>
      <c r="AP134" s="266"/>
      <c r="AQ134" s="266"/>
      <c r="AR134" s="266"/>
      <c r="AS134" s="266"/>
    </row>
    <row r="135" spans="1:45" ht="47.25" customHeight="1">
      <c r="A135" s="281" t="s">
        <v>62</v>
      </c>
      <c r="B135" s="437" t="s">
        <v>313</v>
      </c>
      <c r="C135" s="521" t="s">
        <v>4</v>
      </c>
      <c r="D135" s="552">
        <v>196</v>
      </c>
      <c r="E135" s="370" t="s">
        <v>62</v>
      </c>
      <c r="F135" s="437" t="s">
        <v>313</v>
      </c>
      <c r="G135" s="521" t="s">
        <v>4</v>
      </c>
      <c r="H135" s="490">
        <f>H131</f>
        <v>228.22</v>
      </c>
      <c r="I135" s="320">
        <v>1</v>
      </c>
      <c r="J135" s="277">
        <v>2.2</v>
      </c>
      <c r="K135" s="276">
        <v>2.2</v>
      </c>
      <c r="L135" s="276">
        <v>2.5</v>
      </c>
      <c r="M135" s="276">
        <v>0.05</v>
      </c>
      <c r="N135" s="300">
        <v>4.75</v>
      </c>
      <c r="O135" s="424">
        <f t="shared" si="38"/>
        <v>228.22</v>
      </c>
      <c r="P135" s="277">
        <f t="shared" si="39"/>
        <v>502.08400000000006</v>
      </c>
      <c r="Q135" s="277">
        <f t="shared" si="40"/>
        <v>570.55</v>
      </c>
      <c r="R135" s="277">
        <f t="shared" si="41"/>
        <v>11.411000000000001</v>
      </c>
      <c r="S135" s="369">
        <f t="shared" si="42"/>
        <v>1084.045</v>
      </c>
      <c r="T135" s="294"/>
      <c r="U135" s="275">
        <v>0</v>
      </c>
      <c r="V135" s="275">
        <v>0</v>
      </c>
      <c r="W135" s="275">
        <v>0</v>
      </c>
      <c r="X135" s="275">
        <v>0</v>
      </c>
      <c r="Y135" s="275">
        <v>0</v>
      </c>
      <c r="Z135" s="275">
        <v>0</v>
      </c>
      <c r="AA135" s="275">
        <f t="shared" si="43"/>
        <v>1084.045</v>
      </c>
      <c r="AB135" s="302"/>
      <c r="AC135" s="581"/>
      <c r="AD135" s="581"/>
      <c r="AE135" s="581"/>
      <c r="AF135" s="582"/>
      <c r="AG135" s="278"/>
      <c r="AH135" s="266"/>
      <c r="AI135" s="266"/>
      <c r="AJ135" s="266"/>
      <c r="AK135" s="266"/>
      <c r="AL135" s="266"/>
      <c r="AM135" s="266"/>
      <c r="AN135" s="266"/>
      <c r="AO135" s="266"/>
      <c r="AP135" s="266"/>
      <c r="AQ135" s="266"/>
      <c r="AR135" s="266"/>
      <c r="AS135" s="266"/>
    </row>
    <row r="136" spans="1:45" ht="26.25" customHeight="1">
      <c r="A136" s="281" t="s">
        <v>88</v>
      </c>
      <c r="B136" s="442" t="s">
        <v>33</v>
      </c>
      <c r="C136" s="521" t="s">
        <v>4</v>
      </c>
      <c r="D136" s="552">
        <v>196</v>
      </c>
      <c r="E136" s="370" t="s">
        <v>88</v>
      </c>
      <c r="F136" s="442" t="s">
        <v>33</v>
      </c>
      <c r="G136" s="521" t="s">
        <v>4</v>
      </c>
      <c r="H136" s="490">
        <f>H131</f>
        <v>228.22</v>
      </c>
      <c r="I136" s="320">
        <v>0.9090909090909091</v>
      </c>
      <c r="J136" s="277">
        <v>2.2</v>
      </c>
      <c r="K136" s="276">
        <v>2</v>
      </c>
      <c r="L136" s="276"/>
      <c r="M136" s="276">
        <v>0.1</v>
      </c>
      <c r="N136" s="300">
        <v>2.1</v>
      </c>
      <c r="O136" s="424">
        <f t="shared" si="38"/>
        <v>207.47272727272727</v>
      </c>
      <c r="P136" s="277">
        <f t="shared" si="39"/>
        <v>456.44</v>
      </c>
      <c r="Q136" s="277">
        <f t="shared" si="40"/>
        <v>0</v>
      </c>
      <c r="R136" s="277">
        <f t="shared" si="41"/>
        <v>22.822000000000003</v>
      </c>
      <c r="S136" s="369">
        <f t="shared" si="42"/>
        <v>479.262</v>
      </c>
      <c r="T136" s="294"/>
      <c r="U136" s="275">
        <v>0</v>
      </c>
      <c r="V136" s="275">
        <v>0</v>
      </c>
      <c r="W136" s="275">
        <v>0</v>
      </c>
      <c r="X136" s="275">
        <v>0</v>
      </c>
      <c r="Y136" s="275">
        <v>0</v>
      </c>
      <c r="Z136" s="275">
        <v>0</v>
      </c>
      <c r="AA136" s="275">
        <f t="shared" si="43"/>
        <v>479.262</v>
      </c>
      <c r="AB136" s="302"/>
      <c r="AC136" s="581"/>
      <c r="AD136" s="581"/>
      <c r="AE136" s="581"/>
      <c r="AF136" s="582"/>
      <c r="AG136" s="278"/>
      <c r="AH136" s="266"/>
      <c r="AI136" s="266"/>
      <c r="AJ136" s="266"/>
      <c r="AK136" s="266"/>
      <c r="AL136" s="266"/>
      <c r="AM136" s="266"/>
      <c r="AN136" s="266"/>
      <c r="AO136" s="266"/>
      <c r="AP136" s="266"/>
      <c r="AQ136" s="266"/>
      <c r="AR136" s="266"/>
      <c r="AS136" s="266"/>
    </row>
    <row r="137" spans="1:45" ht="30.75" customHeight="1">
      <c r="A137" s="281"/>
      <c r="B137" s="451" t="s">
        <v>356</v>
      </c>
      <c r="C137" s="521" t="s">
        <v>4</v>
      </c>
      <c r="D137" s="552">
        <v>205.8</v>
      </c>
      <c r="E137" s="370"/>
      <c r="F137" s="451" t="s">
        <v>356</v>
      </c>
      <c r="G137" s="521" t="s">
        <v>4</v>
      </c>
      <c r="H137" s="490">
        <f>205.8/196*H136</f>
        <v>239.631</v>
      </c>
      <c r="I137" s="320"/>
      <c r="J137" s="276"/>
      <c r="K137" s="276"/>
      <c r="L137" s="276">
        <v>3.9</v>
      </c>
      <c r="M137" s="276"/>
      <c r="N137" s="300">
        <v>3.9</v>
      </c>
      <c r="O137" s="424">
        <f t="shared" si="38"/>
        <v>0</v>
      </c>
      <c r="P137" s="277">
        <f t="shared" si="39"/>
        <v>0</v>
      </c>
      <c r="Q137" s="277">
        <f t="shared" si="40"/>
        <v>934.5609</v>
      </c>
      <c r="R137" s="277">
        <f t="shared" si="41"/>
        <v>0</v>
      </c>
      <c r="S137" s="369">
        <f t="shared" si="42"/>
        <v>934.5609</v>
      </c>
      <c r="T137" s="294"/>
      <c r="U137" s="275">
        <v>0</v>
      </c>
      <c r="V137" s="275">
        <v>0</v>
      </c>
      <c r="W137" s="275">
        <v>0</v>
      </c>
      <c r="X137" s="275">
        <v>0</v>
      </c>
      <c r="Y137" s="275">
        <v>205.8</v>
      </c>
      <c r="Z137" s="275">
        <v>802.62</v>
      </c>
      <c r="AA137" s="275">
        <f t="shared" si="43"/>
        <v>131.94089999999994</v>
      </c>
      <c r="AB137" s="302"/>
      <c r="AC137" s="581"/>
      <c r="AD137" s="581"/>
      <c r="AE137" s="581"/>
      <c r="AF137" s="582"/>
      <c r="AG137" s="278"/>
      <c r="AH137" s="266"/>
      <c r="AI137" s="266"/>
      <c r="AJ137" s="266"/>
      <c r="AK137" s="266"/>
      <c r="AL137" s="266"/>
      <c r="AM137" s="266"/>
      <c r="AN137" s="266"/>
      <c r="AO137" s="266"/>
      <c r="AP137" s="266"/>
      <c r="AQ137" s="266"/>
      <c r="AR137" s="266"/>
      <c r="AS137" s="266"/>
    </row>
    <row r="138" spans="1:45" ht="15" customHeight="1">
      <c r="A138" s="281"/>
      <c r="B138" s="451" t="s">
        <v>125</v>
      </c>
      <c r="C138" s="521" t="s">
        <v>18</v>
      </c>
      <c r="D138" s="552">
        <v>784</v>
      </c>
      <c r="E138" s="370"/>
      <c r="F138" s="451" t="s">
        <v>125</v>
      </c>
      <c r="G138" s="521" t="s">
        <v>18</v>
      </c>
      <c r="H138" s="490">
        <f>784/1496*H136</f>
        <v>119.60192513368983</v>
      </c>
      <c r="I138" s="343"/>
      <c r="J138" s="277"/>
      <c r="K138" s="277"/>
      <c r="L138" s="277">
        <v>0.11</v>
      </c>
      <c r="M138" s="277"/>
      <c r="N138" s="300">
        <v>0.11</v>
      </c>
      <c r="O138" s="424">
        <f t="shared" si="38"/>
        <v>0</v>
      </c>
      <c r="P138" s="277">
        <f t="shared" si="39"/>
        <v>0</v>
      </c>
      <c r="Q138" s="277">
        <f t="shared" si="40"/>
        <v>13.156211764705882</v>
      </c>
      <c r="R138" s="277">
        <f t="shared" si="41"/>
        <v>0</v>
      </c>
      <c r="S138" s="369">
        <f t="shared" si="42"/>
        <v>13.156211764705882</v>
      </c>
      <c r="T138" s="294"/>
      <c r="U138" s="275">
        <v>0</v>
      </c>
      <c r="V138" s="275">
        <v>0</v>
      </c>
      <c r="W138" s="275">
        <v>0</v>
      </c>
      <c r="X138" s="275">
        <v>0</v>
      </c>
      <c r="Y138" s="275">
        <v>784</v>
      </c>
      <c r="Z138" s="275">
        <v>86.24</v>
      </c>
      <c r="AA138" s="275">
        <f t="shared" si="43"/>
        <v>-73.08378823529411</v>
      </c>
      <c r="AB138" s="302"/>
      <c r="AC138" s="581"/>
      <c r="AD138" s="581"/>
      <c r="AE138" s="581"/>
      <c r="AF138" s="582"/>
      <c r="AG138" s="278"/>
      <c r="AH138" s="266"/>
      <c r="AI138" s="266"/>
      <c r="AJ138" s="266"/>
      <c r="AK138" s="266"/>
      <c r="AL138" s="266"/>
      <c r="AM138" s="266"/>
      <c r="AN138" s="266"/>
      <c r="AO138" s="266"/>
      <c r="AP138" s="266"/>
      <c r="AQ138" s="266"/>
      <c r="AR138" s="266"/>
      <c r="AS138" s="266"/>
    </row>
    <row r="139" spans="1:45" ht="15" customHeight="1">
      <c r="A139" s="281"/>
      <c r="B139" s="447" t="s">
        <v>171</v>
      </c>
      <c r="C139" s="518" t="s">
        <v>8</v>
      </c>
      <c r="D139" s="552">
        <v>1176</v>
      </c>
      <c r="E139" s="370"/>
      <c r="F139" s="447" t="s">
        <v>171</v>
      </c>
      <c r="G139" s="518" t="s">
        <v>8</v>
      </c>
      <c r="H139" s="490">
        <f>1176/196*H136</f>
        <v>1369.32</v>
      </c>
      <c r="I139" s="343"/>
      <c r="J139" s="277"/>
      <c r="K139" s="277"/>
      <c r="L139" s="277">
        <v>0.1</v>
      </c>
      <c r="M139" s="277"/>
      <c r="N139" s="300">
        <v>0.1</v>
      </c>
      <c r="O139" s="424">
        <f t="shared" si="38"/>
        <v>0</v>
      </c>
      <c r="P139" s="277">
        <f t="shared" si="39"/>
        <v>0</v>
      </c>
      <c r="Q139" s="277">
        <f t="shared" si="40"/>
        <v>136.932</v>
      </c>
      <c r="R139" s="277">
        <f t="shared" si="41"/>
        <v>0</v>
      </c>
      <c r="S139" s="369">
        <f t="shared" si="42"/>
        <v>136.932</v>
      </c>
      <c r="T139" s="294"/>
      <c r="U139" s="275">
        <v>0</v>
      </c>
      <c r="V139" s="275">
        <v>0</v>
      </c>
      <c r="W139" s="275">
        <v>0</v>
      </c>
      <c r="X139" s="275">
        <v>0</v>
      </c>
      <c r="Y139" s="275">
        <v>1176</v>
      </c>
      <c r="Z139" s="275">
        <v>117.6</v>
      </c>
      <c r="AA139" s="275">
        <f t="shared" si="43"/>
        <v>19.331999999999994</v>
      </c>
      <c r="AB139" s="302"/>
      <c r="AC139" s="581"/>
      <c r="AD139" s="581"/>
      <c r="AE139" s="581"/>
      <c r="AF139" s="582"/>
      <c r="AG139" s="278"/>
      <c r="AH139" s="266"/>
      <c r="AI139" s="266"/>
      <c r="AJ139" s="266"/>
      <c r="AK139" s="266"/>
      <c r="AL139" s="266"/>
      <c r="AM139" s="266"/>
      <c r="AN139" s="266"/>
      <c r="AO139" s="266"/>
      <c r="AP139" s="266"/>
      <c r="AQ139" s="266"/>
      <c r="AR139" s="266"/>
      <c r="AS139" s="266"/>
    </row>
    <row r="140" spans="1:45" ht="15" customHeight="1">
      <c r="A140" s="281" t="s">
        <v>94</v>
      </c>
      <c r="B140" s="439" t="s">
        <v>53</v>
      </c>
      <c r="C140" s="518" t="s">
        <v>4</v>
      </c>
      <c r="D140" s="552">
        <v>196</v>
      </c>
      <c r="E140" s="370" t="s">
        <v>94</v>
      </c>
      <c r="F140" s="439" t="s">
        <v>53</v>
      </c>
      <c r="G140" s="518" t="s">
        <v>4</v>
      </c>
      <c r="H140" s="490">
        <f>H136</f>
        <v>228.22</v>
      </c>
      <c r="I140" s="320">
        <v>0.3409090909090909</v>
      </c>
      <c r="J140" s="277">
        <v>2.2</v>
      </c>
      <c r="K140" s="276">
        <v>0.75</v>
      </c>
      <c r="L140" s="276">
        <v>1.335</v>
      </c>
      <c r="M140" s="276">
        <v>0.05</v>
      </c>
      <c r="N140" s="300">
        <v>2.135</v>
      </c>
      <c r="O140" s="424">
        <f t="shared" si="38"/>
        <v>77.80227272727272</v>
      </c>
      <c r="P140" s="277">
        <f t="shared" si="39"/>
        <v>171.165</v>
      </c>
      <c r="Q140" s="277">
        <f t="shared" si="40"/>
        <v>304.6737</v>
      </c>
      <c r="R140" s="277">
        <f t="shared" si="41"/>
        <v>11.411000000000001</v>
      </c>
      <c r="S140" s="369">
        <f t="shared" si="42"/>
        <v>487.2497</v>
      </c>
      <c r="T140" s="294"/>
      <c r="U140" s="275">
        <v>0</v>
      </c>
      <c r="V140" s="275">
        <v>0</v>
      </c>
      <c r="W140" s="275">
        <v>0</v>
      </c>
      <c r="X140" s="275">
        <v>0</v>
      </c>
      <c r="Y140" s="275">
        <v>0</v>
      </c>
      <c r="Z140" s="275">
        <v>0</v>
      </c>
      <c r="AA140" s="275">
        <f t="shared" si="43"/>
        <v>487.2497</v>
      </c>
      <c r="AB140" s="302"/>
      <c r="AC140" s="581"/>
      <c r="AD140" s="581"/>
      <c r="AE140" s="581"/>
      <c r="AF140" s="582"/>
      <c r="AG140" s="278"/>
      <c r="AH140" s="266"/>
      <c r="AI140" s="266"/>
      <c r="AJ140" s="266"/>
      <c r="AK140" s="266"/>
      <c r="AL140" s="266"/>
      <c r="AM140" s="266"/>
      <c r="AN140" s="266"/>
      <c r="AO140" s="266"/>
      <c r="AP140" s="266"/>
      <c r="AQ140" s="266"/>
      <c r="AR140" s="266"/>
      <c r="AS140" s="266"/>
    </row>
    <row r="141" spans="1:45" ht="15" customHeight="1">
      <c r="A141" s="281" t="s">
        <v>95</v>
      </c>
      <c r="B141" s="436" t="s">
        <v>293</v>
      </c>
      <c r="C141" s="518" t="s">
        <v>4</v>
      </c>
      <c r="D141" s="552">
        <v>72.8</v>
      </c>
      <c r="E141" s="370" t="s">
        <v>95</v>
      </c>
      <c r="F141" s="436" t="s">
        <v>293</v>
      </c>
      <c r="G141" s="518" t="s">
        <v>4</v>
      </c>
      <c r="H141" s="490">
        <f>72.8/196*H136</f>
        <v>84.76742857142857</v>
      </c>
      <c r="I141" s="320">
        <v>0.5454545454545454</v>
      </c>
      <c r="J141" s="277">
        <v>2.2</v>
      </c>
      <c r="K141" s="276">
        <v>1.2</v>
      </c>
      <c r="L141" s="277"/>
      <c r="M141" s="277">
        <v>0.2</v>
      </c>
      <c r="N141" s="300">
        <v>1.4</v>
      </c>
      <c r="O141" s="424">
        <f t="shared" si="38"/>
        <v>46.23677922077921</v>
      </c>
      <c r="P141" s="277">
        <f t="shared" si="39"/>
        <v>101.72091428571427</v>
      </c>
      <c r="Q141" s="277">
        <f t="shared" si="40"/>
        <v>0</v>
      </c>
      <c r="R141" s="277">
        <f t="shared" si="41"/>
        <v>16.953485714285716</v>
      </c>
      <c r="S141" s="369">
        <f t="shared" si="42"/>
        <v>118.67439999999999</v>
      </c>
      <c r="T141" s="294"/>
      <c r="U141" s="275">
        <v>0</v>
      </c>
      <c r="V141" s="275">
        <v>0</v>
      </c>
      <c r="W141" s="275">
        <v>0</v>
      </c>
      <c r="X141" s="275">
        <v>0</v>
      </c>
      <c r="Y141" s="275">
        <v>0</v>
      </c>
      <c r="Z141" s="275">
        <v>0</v>
      </c>
      <c r="AA141" s="275">
        <f t="shared" si="43"/>
        <v>118.67439999999999</v>
      </c>
      <c r="AB141" s="302"/>
      <c r="AC141" s="581"/>
      <c r="AD141" s="581"/>
      <c r="AE141" s="581"/>
      <c r="AF141" s="582"/>
      <c r="AG141" s="278"/>
      <c r="AH141" s="266"/>
      <c r="AI141" s="266"/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</row>
    <row r="142" spans="1:45" ht="15" customHeight="1">
      <c r="A142" s="281"/>
      <c r="B142" s="447" t="s">
        <v>294</v>
      </c>
      <c r="C142" s="518" t="s">
        <v>4</v>
      </c>
      <c r="D142" s="552">
        <v>80.08</v>
      </c>
      <c r="E142" s="370"/>
      <c r="F142" s="447" t="s">
        <v>294</v>
      </c>
      <c r="G142" s="518" t="s">
        <v>4</v>
      </c>
      <c r="H142" s="490">
        <f>80.08/72.8*H141</f>
        <v>93.24417142857143</v>
      </c>
      <c r="I142" s="343"/>
      <c r="J142" s="277"/>
      <c r="K142" s="277"/>
      <c r="L142" s="277">
        <v>0.31</v>
      </c>
      <c r="M142" s="277"/>
      <c r="N142" s="300">
        <v>0.31</v>
      </c>
      <c r="O142" s="424">
        <f t="shared" si="38"/>
        <v>0</v>
      </c>
      <c r="P142" s="277">
        <f t="shared" si="39"/>
        <v>0</v>
      </c>
      <c r="Q142" s="277">
        <f t="shared" si="40"/>
        <v>28.905693142857146</v>
      </c>
      <c r="R142" s="277">
        <f t="shared" si="41"/>
        <v>0</v>
      </c>
      <c r="S142" s="369">
        <f t="shared" si="42"/>
        <v>28.905693142857146</v>
      </c>
      <c r="T142" s="294"/>
      <c r="U142" s="275">
        <v>0</v>
      </c>
      <c r="V142" s="275">
        <v>0</v>
      </c>
      <c r="W142" s="275">
        <v>0</v>
      </c>
      <c r="X142" s="275">
        <v>0</v>
      </c>
      <c r="Y142" s="275">
        <v>80.08</v>
      </c>
      <c r="Z142" s="275">
        <v>24.82</v>
      </c>
      <c r="AA142" s="275">
        <f t="shared" si="43"/>
        <v>4.085693142857146</v>
      </c>
      <c r="AB142" s="302"/>
      <c r="AC142" s="581"/>
      <c r="AD142" s="581"/>
      <c r="AE142" s="581"/>
      <c r="AF142" s="582"/>
      <c r="AG142" s="278"/>
      <c r="AH142" s="266"/>
      <c r="AI142" s="266"/>
      <c r="AJ142" s="266"/>
      <c r="AK142" s="266"/>
      <c r="AL142" s="266"/>
      <c r="AM142" s="266"/>
      <c r="AN142" s="266"/>
      <c r="AO142" s="266"/>
      <c r="AP142" s="266"/>
      <c r="AQ142" s="266"/>
      <c r="AR142" s="266"/>
      <c r="AS142" s="266"/>
    </row>
    <row r="143" spans="1:45" ht="15" customHeight="1">
      <c r="A143" s="282"/>
      <c r="B143" s="447" t="s">
        <v>17</v>
      </c>
      <c r="C143" s="518" t="s">
        <v>18</v>
      </c>
      <c r="D143" s="552">
        <v>364</v>
      </c>
      <c r="E143" s="375"/>
      <c r="F143" s="447" t="s">
        <v>17</v>
      </c>
      <c r="G143" s="518" t="s">
        <v>18</v>
      </c>
      <c r="H143" s="490">
        <f>364/72.8*84.77</f>
        <v>423.84999999999997</v>
      </c>
      <c r="I143" s="343"/>
      <c r="J143" s="277"/>
      <c r="K143" s="277"/>
      <c r="L143" s="277">
        <v>0.11</v>
      </c>
      <c r="M143" s="277"/>
      <c r="N143" s="300">
        <v>0.11</v>
      </c>
      <c r="O143" s="424">
        <f t="shared" si="38"/>
        <v>0</v>
      </c>
      <c r="P143" s="277">
        <f t="shared" si="39"/>
        <v>0</v>
      </c>
      <c r="Q143" s="277">
        <f t="shared" si="40"/>
        <v>46.6235</v>
      </c>
      <c r="R143" s="277">
        <f t="shared" si="41"/>
        <v>0</v>
      </c>
      <c r="S143" s="369">
        <f t="shared" si="42"/>
        <v>46.6235</v>
      </c>
      <c r="T143" s="294"/>
      <c r="U143" s="275">
        <v>0</v>
      </c>
      <c r="V143" s="275">
        <v>0</v>
      </c>
      <c r="W143" s="275">
        <v>0</v>
      </c>
      <c r="X143" s="275">
        <v>0</v>
      </c>
      <c r="Y143" s="275">
        <v>364</v>
      </c>
      <c r="Z143" s="275">
        <v>40.04</v>
      </c>
      <c r="AA143" s="275">
        <f t="shared" si="43"/>
        <v>6.583500000000001</v>
      </c>
      <c r="AB143" s="302"/>
      <c r="AC143" s="581"/>
      <c r="AD143" s="581"/>
      <c r="AE143" s="581"/>
      <c r="AF143" s="582"/>
      <c r="AG143" s="278"/>
      <c r="AH143" s="266"/>
      <c r="AI143" s="266"/>
      <c r="AJ143" s="266"/>
      <c r="AK143" s="266"/>
      <c r="AL143" s="266"/>
      <c r="AM143" s="266"/>
      <c r="AN143" s="266"/>
      <c r="AO143" s="266"/>
      <c r="AP143" s="266"/>
      <c r="AQ143" s="266"/>
      <c r="AR143" s="266"/>
      <c r="AS143" s="266"/>
    </row>
    <row r="144" spans="1:45" ht="15" customHeight="1">
      <c r="A144" s="281"/>
      <c r="B144" s="447" t="s">
        <v>152</v>
      </c>
      <c r="C144" s="518" t="s">
        <v>4</v>
      </c>
      <c r="D144" s="552">
        <v>72.8</v>
      </c>
      <c r="E144" s="370"/>
      <c r="F144" s="447" t="s">
        <v>152</v>
      </c>
      <c r="G144" s="518" t="s">
        <v>4</v>
      </c>
      <c r="H144" s="490">
        <f>H141</f>
        <v>84.76742857142857</v>
      </c>
      <c r="I144" s="343"/>
      <c r="J144" s="277"/>
      <c r="K144" s="277"/>
      <c r="L144" s="277">
        <v>0.2</v>
      </c>
      <c r="M144" s="277"/>
      <c r="N144" s="300">
        <v>0.2</v>
      </c>
      <c r="O144" s="424">
        <f t="shared" si="38"/>
        <v>0</v>
      </c>
      <c r="P144" s="277">
        <f t="shared" si="39"/>
        <v>0</v>
      </c>
      <c r="Q144" s="277">
        <f t="shared" si="40"/>
        <v>16.953485714285716</v>
      </c>
      <c r="R144" s="277">
        <f t="shared" si="41"/>
        <v>0</v>
      </c>
      <c r="S144" s="369">
        <f t="shared" si="42"/>
        <v>16.953485714285716</v>
      </c>
      <c r="T144" s="294"/>
      <c r="U144" s="275">
        <v>0</v>
      </c>
      <c r="V144" s="275">
        <v>0</v>
      </c>
      <c r="W144" s="275">
        <v>0</v>
      </c>
      <c r="X144" s="275">
        <v>0</v>
      </c>
      <c r="Y144" s="275">
        <v>72.8</v>
      </c>
      <c r="Z144" s="275">
        <v>14.56</v>
      </c>
      <c r="AA144" s="275">
        <f t="shared" si="43"/>
        <v>2.393485714285715</v>
      </c>
      <c r="AB144" s="302"/>
      <c r="AC144" s="581"/>
      <c r="AD144" s="581"/>
      <c r="AE144" s="581"/>
      <c r="AF144" s="582"/>
      <c r="AG144" s="278"/>
      <c r="AH144" s="266"/>
      <c r="AI144" s="266"/>
      <c r="AJ144" s="266"/>
      <c r="AK144" s="266"/>
      <c r="AL144" s="266"/>
      <c r="AM144" s="266"/>
      <c r="AN144" s="266"/>
      <c r="AO144" s="266"/>
      <c r="AP144" s="266"/>
      <c r="AQ144" s="266"/>
      <c r="AR144" s="266"/>
      <c r="AS144" s="266"/>
    </row>
    <row r="145" spans="1:45" ht="15" customHeight="1">
      <c r="A145" s="281" t="s">
        <v>96</v>
      </c>
      <c r="B145" s="436" t="s">
        <v>295</v>
      </c>
      <c r="C145" s="518" t="s">
        <v>4</v>
      </c>
      <c r="D145" s="552">
        <v>72.8</v>
      </c>
      <c r="E145" s="370" t="s">
        <v>96</v>
      </c>
      <c r="F145" s="436" t="s">
        <v>295</v>
      </c>
      <c r="G145" s="518" t="s">
        <v>4</v>
      </c>
      <c r="H145" s="490">
        <f>H141</f>
        <v>84.76742857142857</v>
      </c>
      <c r="I145" s="320">
        <v>0.45454545454545453</v>
      </c>
      <c r="J145" s="277">
        <v>2.2</v>
      </c>
      <c r="K145" s="277">
        <v>1</v>
      </c>
      <c r="L145" s="277"/>
      <c r="M145" s="277">
        <v>0.1</v>
      </c>
      <c r="N145" s="300">
        <v>1.1</v>
      </c>
      <c r="O145" s="424">
        <f t="shared" si="38"/>
        <v>38.53064935064935</v>
      </c>
      <c r="P145" s="277">
        <f t="shared" si="39"/>
        <v>84.76742857142857</v>
      </c>
      <c r="Q145" s="277">
        <f t="shared" si="40"/>
        <v>0</v>
      </c>
      <c r="R145" s="277">
        <f t="shared" si="41"/>
        <v>8.476742857142858</v>
      </c>
      <c r="S145" s="369">
        <f t="shared" si="42"/>
        <v>93.24417142857142</v>
      </c>
      <c r="T145" s="294"/>
      <c r="U145" s="275">
        <v>0</v>
      </c>
      <c r="V145" s="275">
        <v>0</v>
      </c>
      <c r="W145" s="275">
        <v>0</v>
      </c>
      <c r="X145" s="275">
        <v>0</v>
      </c>
      <c r="Y145" s="275">
        <v>0</v>
      </c>
      <c r="Z145" s="275">
        <v>0</v>
      </c>
      <c r="AA145" s="275">
        <f t="shared" si="43"/>
        <v>93.24417142857142</v>
      </c>
      <c r="AB145" s="302"/>
      <c r="AC145" s="581"/>
      <c r="AD145" s="581"/>
      <c r="AE145" s="581"/>
      <c r="AF145" s="582"/>
      <c r="AG145" s="278"/>
      <c r="AH145" s="266"/>
      <c r="AI145" s="266"/>
      <c r="AJ145" s="266"/>
      <c r="AK145" s="266"/>
      <c r="AL145" s="266"/>
      <c r="AM145" s="266"/>
      <c r="AN145" s="266"/>
      <c r="AO145" s="266"/>
      <c r="AP145" s="266"/>
      <c r="AQ145" s="266"/>
      <c r="AR145" s="266"/>
      <c r="AS145" s="266"/>
    </row>
    <row r="146" spans="1:45" ht="15" customHeight="1">
      <c r="A146" s="281"/>
      <c r="B146" s="447" t="s">
        <v>296</v>
      </c>
      <c r="C146" s="518" t="s">
        <v>25</v>
      </c>
      <c r="D146" s="552">
        <v>21.84</v>
      </c>
      <c r="E146" s="370"/>
      <c r="F146" s="447" t="s">
        <v>296</v>
      </c>
      <c r="G146" s="518" t="s">
        <v>25</v>
      </c>
      <c r="H146" s="490">
        <f>21.84/72.8*H145</f>
        <v>25.430228571428568</v>
      </c>
      <c r="I146" s="343"/>
      <c r="J146" s="277"/>
      <c r="K146" s="277"/>
      <c r="L146" s="277">
        <v>0.69</v>
      </c>
      <c r="M146" s="277"/>
      <c r="N146" s="300">
        <v>0.69</v>
      </c>
      <c r="O146" s="424">
        <f t="shared" si="38"/>
        <v>0</v>
      </c>
      <c r="P146" s="277">
        <f t="shared" si="39"/>
        <v>0</v>
      </c>
      <c r="Q146" s="277">
        <f t="shared" si="40"/>
        <v>17.54685771428571</v>
      </c>
      <c r="R146" s="277">
        <f t="shared" si="41"/>
        <v>0</v>
      </c>
      <c r="S146" s="369">
        <f t="shared" si="42"/>
        <v>17.54685771428571</v>
      </c>
      <c r="T146" s="294"/>
      <c r="U146" s="275">
        <v>0</v>
      </c>
      <c r="V146" s="275">
        <v>0</v>
      </c>
      <c r="W146" s="275">
        <v>0</v>
      </c>
      <c r="X146" s="275">
        <v>0</v>
      </c>
      <c r="Y146" s="275">
        <v>21.84</v>
      </c>
      <c r="Z146" s="275">
        <v>15.07</v>
      </c>
      <c r="AA146" s="275">
        <f t="shared" si="43"/>
        <v>2.4768577142857104</v>
      </c>
      <c r="AB146" s="302"/>
      <c r="AC146" s="581"/>
      <c r="AD146" s="581"/>
      <c r="AE146" s="581"/>
      <c r="AF146" s="582"/>
      <c r="AG146" s="278"/>
      <c r="AH146" s="266"/>
      <c r="AI146" s="266"/>
      <c r="AJ146" s="266"/>
      <c r="AK146" s="266"/>
      <c r="AL146" s="266"/>
      <c r="AM146" s="266"/>
      <c r="AN146" s="266"/>
      <c r="AO146" s="266"/>
      <c r="AP146" s="266"/>
      <c r="AQ146" s="266"/>
      <c r="AR146" s="266"/>
      <c r="AS146" s="266"/>
    </row>
    <row r="147" spans="1:45" ht="15" customHeight="1">
      <c r="A147" s="281"/>
      <c r="B147" s="449" t="s">
        <v>297</v>
      </c>
      <c r="C147" s="518" t="s">
        <v>18</v>
      </c>
      <c r="D147" s="552">
        <v>327.6</v>
      </c>
      <c r="E147" s="370"/>
      <c r="F147" s="449" t="s">
        <v>297</v>
      </c>
      <c r="G147" s="518" t="s">
        <v>18</v>
      </c>
      <c r="H147" s="490">
        <f>327.6/72.8*84.77</f>
        <v>381.46500000000003</v>
      </c>
      <c r="I147" s="343"/>
      <c r="J147" s="277"/>
      <c r="K147" s="277"/>
      <c r="L147" s="277">
        <v>0.2</v>
      </c>
      <c r="M147" s="277"/>
      <c r="N147" s="300">
        <v>0.2</v>
      </c>
      <c r="O147" s="424">
        <f t="shared" si="38"/>
        <v>0</v>
      </c>
      <c r="P147" s="277">
        <f t="shared" si="39"/>
        <v>0</v>
      </c>
      <c r="Q147" s="277">
        <f t="shared" si="40"/>
        <v>76.293</v>
      </c>
      <c r="R147" s="277">
        <f t="shared" si="41"/>
        <v>0</v>
      </c>
      <c r="S147" s="369">
        <f t="shared" si="42"/>
        <v>76.293</v>
      </c>
      <c r="T147" s="294"/>
      <c r="U147" s="275">
        <v>0</v>
      </c>
      <c r="V147" s="275">
        <v>0</v>
      </c>
      <c r="W147" s="275">
        <v>0</v>
      </c>
      <c r="X147" s="275">
        <v>0</v>
      </c>
      <c r="Y147" s="275">
        <v>327.6</v>
      </c>
      <c r="Z147" s="275">
        <v>65.52</v>
      </c>
      <c r="AA147" s="275">
        <f t="shared" si="43"/>
        <v>10.77300000000001</v>
      </c>
      <c r="AB147" s="302"/>
      <c r="AC147" s="581"/>
      <c r="AD147" s="581"/>
      <c r="AE147" s="581"/>
      <c r="AF147" s="582"/>
      <c r="AG147" s="278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6"/>
    </row>
    <row r="148" spans="1:45" ht="15" customHeight="1">
      <c r="A148" s="711"/>
      <c r="B148" s="447" t="s">
        <v>185</v>
      </c>
      <c r="C148" s="518" t="s">
        <v>25</v>
      </c>
      <c r="D148" s="552">
        <v>14.56</v>
      </c>
      <c r="E148" s="703"/>
      <c r="F148" s="447" t="s">
        <v>185</v>
      </c>
      <c r="G148" s="518" t="s">
        <v>25</v>
      </c>
      <c r="H148" s="490">
        <f>14.56/72.8*84.77</f>
        <v>16.954</v>
      </c>
      <c r="I148" s="343"/>
      <c r="J148" s="277"/>
      <c r="K148" s="277"/>
      <c r="L148" s="276">
        <v>2.45</v>
      </c>
      <c r="M148" s="277"/>
      <c r="N148" s="300">
        <v>2.45</v>
      </c>
      <c r="O148" s="424">
        <f t="shared" si="38"/>
        <v>0</v>
      </c>
      <c r="P148" s="277">
        <f t="shared" si="39"/>
        <v>0</v>
      </c>
      <c r="Q148" s="277">
        <f t="shared" si="40"/>
        <v>41.5373</v>
      </c>
      <c r="R148" s="277">
        <f t="shared" si="41"/>
        <v>0</v>
      </c>
      <c r="S148" s="369">
        <f t="shared" si="42"/>
        <v>41.5373</v>
      </c>
      <c r="T148" s="294"/>
      <c r="U148" s="275">
        <v>0</v>
      </c>
      <c r="V148" s="275">
        <v>0</v>
      </c>
      <c r="W148" s="275">
        <v>0</v>
      </c>
      <c r="X148" s="275">
        <v>0</v>
      </c>
      <c r="Y148" s="275">
        <v>0</v>
      </c>
      <c r="Z148" s="275">
        <v>0</v>
      </c>
      <c r="AA148" s="275">
        <f t="shared" si="43"/>
        <v>41.5373</v>
      </c>
      <c r="AB148" s="302"/>
      <c r="AC148" s="581"/>
      <c r="AD148" s="581"/>
      <c r="AE148" s="581"/>
      <c r="AF148" s="582"/>
      <c r="AG148" s="278"/>
      <c r="AH148" s="266"/>
      <c r="AI148" s="266"/>
      <c r="AJ148" s="266"/>
      <c r="AK148" s="266"/>
      <c r="AL148" s="266"/>
      <c r="AM148" s="266"/>
      <c r="AN148" s="266"/>
      <c r="AO148" s="266"/>
      <c r="AP148" s="266"/>
      <c r="AQ148" s="266"/>
      <c r="AR148" s="266"/>
      <c r="AS148" s="266"/>
    </row>
    <row r="149" spans="1:45" ht="15" customHeight="1">
      <c r="A149" s="281"/>
      <c r="B149" s="447" t="s">
        <v>186</v>
      </c>
      <c r="C149" s="518" t="s">
        <v>18</v>
      </c>
      <c r="D149" s="552">
        <v>18.2</v>
      </c>
      <c r="E149" s="370"/>
      <c r="F149" s="447" t="s">
        <v>186</v>
      </c>
      <c r="G149" s="518" t="s">
        <v>18</v>
      </c>
      <c r="H149" s="490">
        <f>18.2/72.8*84.77</f>
        <v>21.1925</v>
      </c>
      <c r="I149" s="343"/>
      <c r="J149" s="277"/>
      <c r="K149" s="277"/>
      <c r="L149" s="276">
        <v>2.55</v>
      </c>
      <c r="M149" s="277"/>
      <c r="N149" s="300">
        <v>2.55</v>
      </c>
      <c r="O149" s="424">
        <f t="shared" si="38"/>
        <v>0</v>
      </c>
      <c r="P149" s="277">
        <f t="shared" si="39"/>
        <v>0</v>
      </c>
      <c r="Q149" s="277">
        <f t="shared" si="40"/>
        <v>54.04087499999999</v>
      </c>
      <c r="R149" s="277">
        <f t="shared" si="41"/>
        <v>0</v>
      </c>
      <c r="S149" s="369">
        <f t="shared" si="42"/>
        <v>54.04087499999999</v>
      </c>
      <c r="T149" s="294"/>
      <c r="U149" s="275">
        <v>0</v>
      </c>
      <c r="V149" s="275">
        <v>0</v>
      </c>
      <c r="W149" s="275">
        <v>0</v>
      </c>
      <c r="X149" s="275">
        <v>0</v>
      </c>
      <c r="Y149" s="275">
        <v>0</v>
      </c>
      <c r="Z149" s="275">
        <v>0</v>
      </c>
      <c r="AA149" s="275">
        <f t="shared" si="43"/>
        <v>54.04087499999999</v>
      </c>
      <c r="AB149" s="302"/>
      <c r="AC149" s="581"/>
      <c r="AD149" s="581"/>
      <c r="AE149" s="581"/>
      <c r="AF149" s="582"/>
      <c r="AG149" s="278"/>
      <c r="AH149" s="266"/>
      <c r="AI149" s="266"/>
      <c r="AJ149" s="266"/>
      <c r="AK149" s="266"/>
      <c r="AL149" s="266"/>
      <c r="AM149" s="266"/>
      <c r="AN149" s="266"/>
      <c r="AO149" s="266"/>
      <c r="AP149" s="266"/>
      <c r="AQ149" s="266"/>
      <c r="AR149" s="266"/>
      <c r="AS149" s="266"/>
    </row>
    <row r="150" spans="1:45" ht="15" customHeight="1">
      <c r="A150" s="281"/>
      <c r="B150" s="447" t="s">
        <v>198</v>
      </c>
      <c r="C150" s="518" t="s">
        <v>4</v>
      </c>
      <c r="D150" s="552">
        <v>72.8</v>
      </c>
      <c r="E150" s="370"/>
      <c r="F150" s="447" t="s">
        <v>198</v>
      </c>
      <c r="G150" s="518" t="s">
        <v>4</v>
      </c>
      <c r="H150" s="490">
        <f>H145</f>
        <v>84.76742857142857</v>
      </c>
      <c r="I150" s="343"/>
      <c r="J150" s="277"/>
      <c r="K150" s="277"/>
      <c r="L150" s="277">
        <v>0.2</v>
      </c>
      <c r="M150" s="277"/>
      <c r="N150" s="300">
        <v>0.2</v>
      </c>
      <c r="O150" s="424">
        <f t="shared" si="38"/>
        <v>0</v>
      </c>
      <c r="P150" s="277">
        <f t="shared" si="39"/>
        <v>0</v>
      </c>
      <c r="Q150" s="277">
        <f t="shared" si="40"/>
        <v>16.953485714285716</v>
      </c>
      <c r="R150" s="277">
        <f t="shared" si="41"/>
        <v>0</v>
      </c>
      <c r="S150" s="369">
        <f t="shared" si="42"/>
        <v>16.953485714285716</v>
      </c>
      <c r="T150" s="294"/>
      <c r="U150" s="275">
        <v>0</v>
      </c>
      <c r="V150" s="275">
        <v>0</v>
      </c>
      <c r="W150" s="275">
        <v>0</v>
      </c>
      <c r="X150" s="275">
        <v>0</v>
      </c>
      <c r="Y150" s="275">
        <v>0</v>
      </c>
      <c r="Z150" s="275">
        <v>0</v>
      </c>
      <c r="AA150" s="275">
        <f t="shared" si="43"/>
        <v>16.953485714285716</v>
      </c>
      <c r="AB150" s="302"/>
      <c r="AC150" s="581"/>
      <c r="AD150" s="581"/>
      <c r="AE150" s="581"/>
      <c r="AF150" s="582"/>
      <c r="AG150" s="278"/>
      <c r="AH150" s="266"/>
      <c r="AI150" s="266"/>
      <c r="AJ150" s="266"/>
      <c r="AK150" s="266"/>
      <c r="AL150" s="266"/>
      <c r="AM150" s="266"/>
      <c r="AN150" s="266"/>
      <c r="AO150" s="266"/>
      <c r="AP150" s="266"/>
      <c r="AQ150" s="266"/>
      <c r="AR150" s="266"/>
      <c r="AS150" s="266"/>
    </row>
    <row r="151" spans="1:45" ht="15" customHeight="1">
      <c r="A151" s="281" t="s">
        <v>151</v>
      </c>
      <c r="B151" s="442" t="s">
        <v>217</v>
      </c>
      <c r="C151" s="519" t="s">
        <v>4</v>
      </c>
      <c r="D151" s="553">
        <v>84</v>
      </c>
      <c r="E151" s="370" t="s">
        <v>151</v>
      </c>
      <c r="F151" s="442" t="s">
        <v>217</v>
      </c>
      <c r="G151" s="519" t="s">
        <v>4</v>
      </c>
      <c r="H151" s="489">
        <f>84/196*H136</f>
        <v>97.80857142857143</v>
      </c>
      <c r="I151" s="320">
        <v>1.5909090909090908</v>
      </c>
      <c r="J151" s="277">
        <v>2.2</v>
      </c>
      <c r="K151" s="277">
        <v>3.5</v>
      </c>
      <c r="L151" s="277"/>
      <c r="M151" s="277">
        <v>0.5</v>
      </c>
      <c r="N151" s="300">
        <v>4</v>
      </c>
      <c r="O151" s="424">
        <f t="shared" si="38"/>
        <v>155.60454545454544</v>
      </c>
      <c r="P151" s="277">
        <f t="shared" si="39"/>
        <v>342.33</v>
      </c>
      <c r="Q151" s="277">
        <f t="shared" si="40"/>
        <v>0</v>
      </c>
      <c r="R151" s="277">
        <f t="shared" si="41"/>
        <v>48.90428571428571</v>
      </c>
      <c r="S151" s="369">
        <f t="shared" si="42"/>
        <v>391.2342857142857</v>
      </c>
      <c r="T151" s="294"/>
      <c r="U151" s="275">
        <v>0</v>
      </c>
      <c r="V151" s="275">
        <v>0</v>
      </c>
      <c r="W151" s="275">
        <v>0</v>
      </c>
      <c r="X151" s="275">
        <v>0</v>
      </c>
      <c r="Y151" s="275">
        <v>0</v>
      </c>
      <c r="Z151" s="275">
        <v>0</v>
      </c>
      <c r="AA151" s="275">
        <f t="shared" si="43"/>
        <v>391.2342857142857</v>
      </c>
      <c r="AB151" s="302"/>
      <c r="AC151" s="581"/>
      <c r="AD151" s="581"/>
      <c r="AE151" s="581"/>
      <c r="AF151" s="582"/>
      <c r="AG151" s="278"/>
      <c r="AH151" s="266"/>
      <c r="AI151" s="266"/>
      <c r="AJ151" s="266"/>
      <c r="AK151" s="266"/>
      <c r="AL151" s="266"/>
      <c r="AM151" s="266"/>
      <c r="AN151" s="266"/>
      <c r="AO151" s="266"/>
      <c r="AP151" s="266"/>
      <c r="AQ151" s="266"/>
      <c r="AR151" s="266"/>
      <c r="AS151" s="266"/>
    </row>
    <row r="152" spans="1:45" ht="15" customHeight="1">
      <c r="A152" s="281"/>
      <c r="B152" s="451" t="s">
        <v>218</v>
      </c>
      <c r="C152" s="519" t="s">
        <v>6</v>
      </c>
      <c r="D152" s="553">
        <v>4.787999999999999</v>
      </c>
      <c r="E152" s="370"/>
      <c r="F152" s="451" t="s">
        <v>218</v>
      </c>
      <c r="G152" s="519" t="s">
        <v>6</v>
      </c>
      <c r="H152" s="489">
        <f>4.79/84*H151</f>
        <v>5.577417346938775</v>
      </c>
      <c r="I152" s="343"/>
      <c r="J152" s="277"/>
      <c r="K152" s="277"/>
      <c r="L152" s="277">
        <v>3.5</v>
      </c>
      <c r="M152" s="277">
        <v>1.5</v>
      </c>
      <c r="N152" s="300">
        <v>5</v>
      </c>
      <c r="O152" s="424">
        <f t="shared" si="38"/>
        <v>0</v>
      </c>
      <c r="P152" s="277">
        <f t="shared" si="39"/>
        <v>0</v>
      </c>
      <c r="Q152" s="277">
        <f t="shared" si="40"/>
        <v>19.520960714285714</v>
      </c>
      <c r="R152" s="277">
        <f t="shared" si="41"/>
        <v>8.366126020408164</v>
      </c>
      <c r="S152" s="369">
        <f t="shared" si="42"/>
        <v>27.887086734693877</v>
      </c>
      <c r="T152" s="294"/>
      <c r="U152" s="275">
        <v>0</v>
      </c>
      <c r="V152" s="275">
        <v>0</v>
      </c>
      <c r="W152" s="275">
        <v>0</v>
      </c>
      <c r="X152" s="275">
        <v>0</v>
      </c>
      <c r="Y152" s="275">
        <v>0</v>
      </c>
      <c r="Z152" s="275">
        <v>0</v>
      </c>
      <c r="AA152" s="275">
        <f t="shared" si="43"/>
        <v>27.887086734693877</v>
      </c>
      <c r="AB152" s="302"/>
      <c r="AC152" s="581"/>
      <c r="AD152" s="581"/>
      <c r="AE152" s="581"/>
      <c r="AF152" s="582"/>
      <c r="AG152" s="278"/>
      <c r="AH152" s="266"/>
      <c r="AI152" s="266"/>
      <c r="AJ152" s="266"/>
      <c r="AK152" s="266"/>
      <c r="AL152" s="266"/>
      <c r="AM152" s="266"/>
      <c r="AN152" s="266"/>
      <c r="AO152" s="266"/>
      <c r="AP152" s="266"/>
      <c r="AQ152" s="266"/>
      <c r="AR152" s="266"/>
      <c r="AS152" s="266"/>
    </row>
    <row r="153" spans="1:45" ht="15" customHeight="1">
      <c r="A153" s="281"/>
      <c r="B153" s="451" t="s">
        <v>34</v>
      </c>
      <c r="C153" s="519" t="s">
        <v>6</v>
      </c>
      <c r="D153" s="553">
        <v>21.0672</v>
      </c>
      <c r="E153" s="370"/>
      <c r="F153" s="451" t="s">
        <v>34</v>
      </c>
      <c r="G153" s="519" t="s">
        <v>6</v>
      </c>
      <c r="H153" s="489">
        <f>21.07/84*97.81</f>
        <v>24.534008333333336</v>
      </c>
      <c r="I153" s="343"/>
      <c r="J153" s="277"/>
      <c r="K153" s="277"/>
      <c r="L153" s="277">
        <v>7.5</v>
      </c>
      <c r="M153" s="277">
        <v>2.5</v>
      </c>
      <c r="N153" s="300">
        <v>10</v>
      </c>
      <c r="O153" s="424">
        <f t="shared" si="38"/>
        <v>0</v>
      </c>
      <c r="P153" s="277">
        <f t="shared" si="39"/>
        <v>0</v>
      </c>
      <c r="Q153" s="277">
        <f t="shared" si="40"/>
        <v>184.0050625</v>
      </c>
      <c r="R153" s="277">
        <f t="shared" si="41"/>
        <v>61.33502083333334</v>
      </c>
      <c r="S153" s="369">
        <f t="shared" si="42"/>
        <v>245.34008333333335</v>
      </c>
      <c r="T153" s="294"/>
      <c r="U153" s="275">
        <v>0</v>
      </c>
      <c r="V153" s="275">
        <v>0</v>
      </c>
      <c r="W153" s="275">
        <v>0</v>
      </c>
      <c r="X153" s="275">
        <v>0</v>
      </c>
      <c r="Y153" s="275">
        <v>0</v>
      </c>
      <c r="Z153" s="275">
        <v>0</v>
      </c>
      <c r="AA153" s="275">
        <f t="shared" si="43"/>
        <v>245.34008333333335</v>
      </c>
      <c r="AB153" s="302"/>
      <c r="AC153" s="581"/>
      <c r="AD153" s="581"/>
      <c r="AE153" s="581"/>
      <c r="AF153" s="582"/>
      <c r="AG153" s="278"/>
      <c r="AH153" s="266"/>
      <c r="AI153" s="266"/>
      <c r="AJ153" s="266"/>
      <c r="AK153" s="266"/>
      <c r="AL153" s="266"/>
      <c r="AM153" s="266"/>
      <c r="AN153" s="266"/>
      <c r="AO153" s="266"/>
      <c r="AP153" s="266"/>
      <c r="AQ153" s="266"/>
      <c r="AR153" s="266"/>
      <c r="AS153" s="266"/>
    </row>
    <row r="154" spans="1:45" ht="15" customHeight="1">
      <c r="A154" s="281"/>
      <c r="B154" s="447" t="s">
        <v>219</v>
      </c>
      <c r="C154" s="518" t="s">
        <v>4</v>
      </c>
      <c r="D154" s="552">
        <v>90.72</v>
      </c>
      <c r="E154" s="370"/>
      <c r="F154" s="447" t="s">
        <v>219</v>
      </c>
      <c r="G154" s="518" t="s">
        <v>4</v>
      </c>
      <c r="H154" s="486">
        <v>90.72</v>
      </c>
      <c r="I154" s="343"/>
      <c r="J154" s="277"/>
      <c r="K154" s="277"/>
      <c r="L154" s="277">
        <v>3.5</v>
      </c>
      <c r="M154" s="277"/>
      <c r="N154" s="300">
        <v>3.5</v>
      </c>
      <c r="O154" s="424">
        <f t="shared" si="38"/>
        <v>0</v>
      </c>
      <c r="P154" s="277">
        <f t="shared" si="39"/>
        <v>0</v>
      </c>
      <c r="Q154" s="277">
        <f t="shared" si="40"/>
        <v>317.52</v>
      </c>
      <c r="R154" s="277">
        <f t="shared" si="41"/>
        <v>0</v>
      </c>
      <c r="S154" s="369">
        <f t="shared" si="42"/>
        <v>317.52</v>
      </c>
      <c r="T154" s="294"/>
      <c r="U154" s="275">
        <v>0</v>
      </c>
      <c r="V154" s="275">
        <v>0</v>
      </c>
      <c r="W154" s="275">
        <v>0</v>
      </c>
      <c r="X154" s="275">
        <v>0</v>
      </c>
      <c r="Y154" s="275">
        <v>0</v>
      </c>
      <c r="Z154" s="275">
        <v>0</v>
      </c>
      <c r="AA154" s="275">
        <f t="shared" si="43"/>
        <v>317.52</v>
      </c>
      <c r="AB154" s="302"/>
      <c r="AC154" s="581"/>
      <c r="AD154" s="581"/>
      <c r="AE154" s="581"/>
      <c r="AF154" s="582"/>
      <c r="AG154" s="278"/>
      <c r="AH154" s="266"/>
      <c r="AI154" s="266"/>
      <c r="AJ154" s="266"/>
      <c r="AK154" s="266"/>
      <c r="AL154" s="266"/>
      <c r="AM154" s="266"/>
      <c r="AN154" s="266"/>
      <c r="AO154" s="266"/>
      <c r="AP154" s="266"/>
      <c r="AQ154" s="266"/>
      <c r="AR154" s="266"/>
      <c r="AS154" s="266"/>
    </row>
    <row r="155" spans="1:45" ht="15" customHeight="1">
      <c r="A155" s="281"/>
      <c r="B155" s="447" t="s">
        <v>221</v>
      </c>
      <c r="C155" s="518" t="s">
        <v>6</v>
      </c>
      <c r="D155" s="552">
        <v>6.615</v>
      </c>
      <c r="E155" s="370"/>
      <c r="F155" s="447" t="s">
        <v>221</v>
      </c>
      <c r="G155" s="518" t="s">
        <v>6</v>
      </c>
      <c r="H155" s="490">
        <f>6.62/84*97.81</f>
        <v>7.708359523809524</v>
      </c>
      <c r="I155" s="343"/>
      <c r="J155" s="277"/>
      <c r="K155" s="277"/>
      <c r="L155" s="277">
        <v>47</v>
      </c>
      <c r="M155" s="277"/>
      <c r="N155" s="300">
        <v>47</v>
      </c>
      <c r="O155" s="424">
        <f t="shared" si="38"/>
        <v>0</v>
      </c>
      <c r="P155" s="277">
        <f t="shared" si="39"/>
        <v>0</v>
      </c>
      <c r="Q155" s="277">
        <f t="shared" si="40"/>
        <v>362.29289761904766</v>
      </c>
      <c r="R155" s="277">
        <f t="shared" si="41"/>
        <v>0</v>
      </c>
      <c r="S155" s="369">
        <f t="shared" si="42"/>
        <v>362.29289761904766</v>
      </c>
      <c r="T155" s="294"/>
      <c r="U155" s="275">
        <v>0</v>
      </c>
      <c r="V155" s="275">
        <v>0</v>
      </c>
      <c r="W155" s="275">
        <v>0</v>
      </c>
      <c r="X155" s="275">
        <v>0</v>
      </c>
      <c r="Y155" s="275">
        <v>0</v>
      </c>
      <c r="Z155" s="275">
        <v>0</v>
      </c>
      <c r="AA155" s="275">
        <f t="shared" si="43"/>
        <v>362.29289761904766</v>
      </c>
      <c r="AB155" s="302"/>
      <c r="AC155" s="581"/>
      <c r="AD155" s="581"/>
      <c r="AE155" s="581"/>
      <c r="AF155" s="582"/>
      <c r="AG155" s="278"/>
      <c r="AH155" s="266"/>
      <c r="AI155" s="266"/>
      <c r="AJ155" s="266"/>
      <c r="AK155" s="266"/>
      <c r="AL155" s="266"/>
      <c r="AM155" s="266"/>
      <c r="AN155" s="266"/>
      <c r="AO155" s="266"/>
      <c r="AP155" s="266"/>
      <c r="AQ155" s="266"/>
      <c r="AR155" s="266"/>
      <c r="AS155" s="266"/>
    </row>
    <row r="156" spans="1:45" ht="15" customHeight="1" thickBot="1">
      <c r="A156" s="284"/>
      <c r="B156" s="458" t="s">
        <v>220</v>
      </c>
      <c r="C156" s="527" t="s">
        <v>3</v>
      </c>
      <c r="D156" s="554">
        <v>147</v>
      </c>
      <c r="E156" s="380"/>
      <c r="F156" s="458" t="s">
        <v>220</v>
      </c>
      <c r="G156" s="527" t="s">
        <v>3</v>
      </c>
      <c r="H156" s="500">
        <f>147/84*97.81</f>
        <v>171.16750000000002</v>
      </c>
      <c r="I156" s="363"/>
      <c r="J156" s="287"/>
      <c r="K156" s="287"/>
      <c r="L156" s="287">
        <v>3</v>
      </c>
      <c r="M156" s="287"/>
      <c r="N156" s="355">
        <v>3</v>
      </c>
      <c r="O156" s="424">
        <f t="shared" si="38"/>
        <v>0</v>
      </c>
      <c r="P156" s="277">
        <f t="shared" si="39"/>
        <v>0</v>
      </c>
      <c r="Q156" s="277">
        <f t="shared" si="40"/>
        <v>513.5025</v>
      </c>
      <c r="R156" s="277">
        <f t="shared" si="41"/>
        <v>0</v>
      </c>
      <c r="S156" s="369">
        <f t="shared" si="42"/>
        <v>513.5025</v>
      </c>
      <c r="T156" s="358"/>
      <c r="U156" s="285">
        <v>0</v>
      </c>
      <c r="V156" s="285">
        <v>0</v>
      </c>
      <c r="W156" s="285">
        <v>0</v>
      </c>
      <c r="X156" s="285">
        <v>0</v>
      </c>
      <c r="Y156" s="285">
        <v>0</v>
      </c>
      <c r="Z156" s="285">
        <v>0</v>
      </c>
      <c r="AA156" s="285">
        <f t="shared" si="43"/>
        <v>513.5025</v>
      </c>
      <c r="AB156" s="303"/>
      <c r="AC156" s="581"/>
      <c r="AD156" s="581"/>
      <c r="AE156" s="581"/>
      <c r="AF156" s="582"/>
      <c r="AG156" s="278"/>
      <c r="AH156" s="266"/>
      <c r="AI156" s="266"/>
      <c r="AJ156" s="266"/>
      <c r="AK156" s="266"/>
      <c r="AL156" s="266"/>
      <c r="AM156" s="266"/>
      <c r="AN156" s="266"/>
      <c r="AO156" s="266"/>
      <c r="AP156" s="266"/>
      <c r="AQ156" s="266"/>
      <c r="AR156" s="266"/>
      <c r="AS156" s="266"/>
    </row>
    <row r="157" spans="1:45" ht="15" customHeight="1" thickBot="1">
      <c r="A157" s="259"/>
      <c r="B157" s="473" t="s">
        <v>37</v>
      </c>
      <c r="C157" s="528"/>
      <c r="D157" s="559"/>
      <c r="E157" s="670"/>
      <c r="F157" s="459"/>
      <c r="G157" s="528"/>
      <c r="H157" s="498"/>
      <c r="I157" s="361"/>
      <c r="J157" s="310"/>
      <c r="K157" s="310"/>
      <c r="L157" s="310"/>
      <c r="M157" s="310"/>
      <c r="N157" s="404"/>
      <c r="O157" s="426">
        <f>SUM(O132:O156)</f>
        <v>813.0390426716141</v>
      </c>
      <c r="P157" s="310">
        <f>SUM(P132:P156)</f>
        <v>1788.685893877551</v>
      </c>
      <c r="Q157" s="310">
        <f>SUM(Q132:Q156)</f>
        <v>3655.5684298837537</v>
      </c>
      <c r="R157" s="310">
        <f>SUM(R132:R156)</f>
        <v>418.8311713435374</v>
      </c>
      <c r="S157" s="427">
        <f>SUM(S132:S156)</f>
        <v>5863.085495104842</v>
      </c>
      <c r="T157" s="417"/>
      <c r="U157" s="310">
        <v>0</v>
      </c>
      <c r="V157" s="310">
        <v>0</v>
      </c>
      <c r="W157" s="310">
        <v>0</v>
      </c>
      <c r="X157" s="310">
        <v>0</v>
      </c>
      <c r="Y157" s="309">
        <v>0</v>
      </c>
      <c r="Z157" s="309">
        <f>SUM(Z132:Z156)</f>
        <v>1166.4699999999998</v>
      </c>
      <c r="AA157" s="309">
        <f>SUM(AA132:AA156)</f>
        <v>4696.615495104843</v>
      </c>
      <c r="AB157" s="278"/>
      <c r="AC157" s="581"/>
      <c r="AD157" s="581"/>
      <c r="AE157" s="581"/>
      <c r="AF157" s="582"/>
      <c r="AG157" s="586"/>
      <c r="AH157" s="266"/>
      <c r="AI157" s="266"/>
      <c r="AJ157" s="266"/>
      <c r="AK157" s="266"/>
      <c r="AL157" s="266"/>
      <c r="AM157" s="266"/>
      <c r="AN157" s="266"/>
      <c r="AO157" s="266"/>
      <c r="AP157" s="266"/>
      <c r="AQ157" s="266"/>
      <c r="AR157" s="266"/>
      <c r="AS157" s="266"/>
    </row>
    <row r="158" spans="1:45" ht="44.25" customHeight="1">
      <c r="A158" s="318" t="s">
        <v>63</v>
      </c>
      <c r="B158" s="471" t="s">
        <v>222</v>
      </c>
      <c r="C158" s="530" t="s">
        <v>4</v>
      </c>
      <c r="D158" s="555">
        <v>768</v>
      </c>
      <c r="E158" s="381" t="s">
        <v>597</v>
      </c>
      <c r="F158" s="443" t="s">
        <v>427</v>
      </c>
      <c r="G158" s="530" t="s">
        <v>4</v>
      </c>
      <c r="H158" s="501">
        <v>768</v>
      </c>
      <c r="I158" s="362"/>
      <c r="J158" s="314"/>
      <c r="K158" s="314"/>
      <c r="L158" s="314"/>
      <c r="M158" s="314"/>
      <c r="N158" s="303"/>
      <c r="O158" s="428"/>
      <c r="P158" s="314"/>
      <c r="Q158" s="314"/>
      <c r="R158" s="314"/>
      <c r="S158" s="391"/>
      <c r="T158" s="316"/>
      <c r="U158" s="289"/>
      <c r="V158" s="289"/>
      <c r="W158" s="289"/>
      <c r="X158" s="289"/>
      <c r="Y158" s="289"/>
      <c r="Z158" s="289"/>
      <c r="AA158" s="289">
        <f>S158-Z158</f>
        <v>0</v>
      </c>
      <c r="AB158" s="278"/>
      <c r="AC158" s="581"/>
      <c r="AD158" s="581"/>
      <c r="AE158" s="581"/>
      <c r="AF158" s="582"/>
      <c r="AG158" s="266"/>
      <c r="AH158" s="266"/>
      <c r="AI158" s="266"/>
      <c r="AJ158" s="266"/>
      <c r="AK158" s="266"/>
      <c r="AL158" s="266"/>
      <c r="AM158" s="266"/>
      <c r="AN158" s="266"/>
      <c r="AO158" s="266"/>
      <c r="AP158" s="266"/>
      <c r="AQ158" s="266"/>
      <c r="AR158" s="266"/>
      <c r="AS158" s="266"/>
    </row>
    <row r="159" spans="1:45" ht="27.75" customHeight="1">
      <c r="A159" s="281" t="s">
        <v>64</v>
      </c>
      <c r="B159" s="442" t="s">
        <v>97</v>
      </c>
      <c r="C159" s="521" t="s">
        <v>7</v>
      </c>
      <c r="D159" s="561">
        <v>768</v>
      </c>
      <c r="E159" s="382" t="s">
        <v>64</v>
      </c>
      <c r="F159" s="442" t="s">
        <v>97</v>
      </c>
      <c r="G159" s="521" t="s">
        <v>7</v>
      </c>
      <c r="H159" s="502">
        <v>768</v>
      </c>
      <c r="I159" s="320">
        <v>0.09090909090909091</v>
      </c>
      <c r="J159" s="277">
        <v>2.2</v>
      </c>
      <c r="K159" s="276">
        <v>0.2</v>
      </c>
      <c r="L159" s="276"/>
      <c r="M159" s="276">
        <v>0.15</v>
      </c>
      <c r="N159" s="300">
        <v>0.35</v>
      </c>
      <c r="O159" s="424">
        <f aca="true" t="shared" si="44" ref="O159:O207">H159*I159</f>
        <v>69.81818181818181</v>
      </c>
      <c r="P159" s="277">
        <f aca="true" t="shared" si="45" ref="P159:P207">H159*K159</f>
        <v>153.60000000000002</v>
      </c>
      <c r="Q159" s="277">
        <f aca="true" t="shared" si="46" ref="Q159:Q207">H159*L159</f>
        <v>0</v>
      </c>
      <c r="R159" s="277">
        <f aca="true" t="shared" si="47" ref="R159:R207">H159*M159</f>
        <v>115.19999999999999</v>
      </c>
      <c r="S159" s="369">
        <f aca="true" t="shared" si="48" ref="S159:S207">P159+Q159+R159</f>
        <v>268.8</v>
      </c>
      <c r="T159" s="294"/>
      <c r="U159" s="275"/>
      <c r="V159" s="275"/>
      <c r="W159" s="275"/>
      <c r="X159" s="275"/>
      <c r="Y159" s="275">
        <v>768</v>
      </c>
      <c r="Z159" s="275">
        <v>268.8</v>
      </c>
      <c r="AA159" s="275">
        <f>S159-Z159</f>
        <v>0</v>
      </c>
      <c r="AB159" s="278"/>
      <c r="AC159" s="330"/>
      <c r="AD159" s="330"/>
      <c r="AE159" s="330"/>
      <c r="AF159" s="582"/>
      <c r="AG159" s="266"/>
      <c r="AH159" s="266"/>
      <c r="AI159" s="266"/>
      <c r="AJ159" s="266"/>
      <c r="AK159" s="266"/>
      <c r="AL159" s="266"/>
      <c r="AM159" s="266"/>
      <c r="AN159" s="266"/>
      <c r="AO159" s="266"/>
      <c r="AP159" s="266"/>
      <c r="AQ159" s="266"/>
      <c r="AR159" s="266"/>
      <c r="AS159" s="266"/>
    </row>
    <row r="160" spans="1:45" ht="28.5" customHeight="1">
      <c r="A160" s="281" t="s">
        <v>65</v>
      </c>
      <c r="B160" s="442" t="s">
        <v>223</v>
      </c>
      <c r="C160" s="521" t="s">
        <v>4</v>
      </c>
      <c r="D160" s="561">
        <v>768</v>
      </c>
      <c r="E160" s="382" t="s">
        <v>65</v>
      </c>
      <c r="F160" s="442" t="s">
        <v>223</v>
      </c>
      <c r="G160" s="521" t="s">
        <v>4</v>
      </c>
      <c r="H160" s="502">
        <v>768</v>
      </c>
      <c r="I160" s="320">
        <v>0.6818181818181818</v>
      </c>
      <c r="J160" s="277">
        <v>2.2</v>
      </c>
      <c r="K160" s="276">
        <v>1.5</v>
      </c>
      <c r="L160" s="276"/>
      <c r="M160" s="276">
        <v>0.15</v>
      </c>
      <c r="N160" s="300">
        <v>1.65</v>
      </c>
      <c r="O160" s="424">
        <f t="shared" si="44"/>
        <v>523.6363636363636</v>
      </c>
      <c r="P160" s="277">
        <f t="shared" si="45"/>
        <v>1152</v>
      </c>
      <c r="Q160" s="277">
        <f t="shared" si="46"/>
        <v>0</v>
      </c>
      <c r="R160" s="277">
        <f t="shared" si="47"/>
        <v>115.19999999999999</v>
      </c>
      <c r="S160" s="369">
        <f t="shared" si="48"/>
        <v>1267.2</v>
      </c>
      <c r="T160" s="294"/>
      <c r="U160" s="275"/>
      <c r="V160" s="275"/>
      <c r="W160" s="275"/>
      <c r="X160" s="275"/>
      <c r="Y160" s="275">
        <v>768</v>
      </c>
      <c r="Z160" s="275">
        <v>1267.2</v>
      </c>
      <c r="AA160" s="275">
        <f aca="true" t="shared" si="49" ref="AA160:AA204">S160-Z160-X160</f>
        <v>0</v>
      </c>
      <c r="AB160" s="814" t="s">
        <v>439</v>
      </c>
      <c r="AC160" s="330"/>
      <c r="AD160" s="330"/>
      <c r="AE160" s="330"/>
      <c r="AF160" s="582"/>
      <c r="AG160" s="266"/>
      <c r="AH160" s="266"/>
      <c r="AI160" s="266"/>
      <c r="AJ160" s="266"/>
      <c r="AK160" s="266"/>
      <c r="AL160" s="266"/>
      <c r="AM160" s="266"/>
      <c r="AN160" s="266"/>
      <c r="AO160" s="266"/>
      <c r="AP160" s="266"/>
      <c r="AQ160" s="266"/>
      <c r="AR160" s="266"/>
      <c r="AS160" s="266"/>
    </row>
    <row r="161" spans="1:45" ht="15" customHeight="1">
      <c r="A161" s="281" t="s">
        <v>66</v>
      </c>
      <c r="B161" s="442" t="s">
        <v>98</v>
      </c>
      <c r="C161" s="519" t="s">
        <v>4</v>
      </c>
      <c r="D161" s="553">
        <v>844.8</v>
      </c>
      <c r="E161" s="383" t="s">
        <v>66</v>
      </c>
      <c r="F161" s="442" t="s">
        <v>98</v>
      </c>
      <c r="G161" s="519" t="s">
        <v>4</v>
      </c>
      <c r="H161" s="487">
        <v>844.8</v>
      </c>
      <c r="I161" s="320">
        <v>0.09090909090909091</v>
      </c>
      <c r="J161" s="277">
        <v>2.2</v>
      </c>
      <c r="K161" s="276">
        <v>0.2</v>
      </c>
      <c r="L161" s="276">
        <v>0.25</v>
      </c>
      <c r="M161" s="276">
        <v>0.05</v>
      </c>
      <c r="N161" s="300">
        <v>0.5</v>
      </c>
      <c r="O161" s="424">
        <f t="shared" si="44"/>
        <v>76.8</v>
      </c>
      <c r="P161" s="277">
        <f t="shared" si="45"/>
        <v>168.96</v>
      </c>
      <c r="Q161" s="277">
        <f t="shared" si="46"/>
        <v>211.2</v>
      </c>
      <c r="R161" s="277">
        <f t="shared" si="47"/>
        <v>42.24</v>
      </c>
      <c r="S161" s="369">
        <f t="shared" si="48"/>
        <v>422.4</v>
      </c>
      <c r="T161" s="294"/>
      <c r="U161" s="275"/>
      <c r="V161" s="275"/>
      <c r="W161" s="275"/>
      <c r="X161" s="275"/>
      <c r="Y161" s="275">
        <v>844.8</v>
      </c>
      <c r="Z161" s="275">
        <v>422.4</v>
      </c>
      <c r="AA161" s="275">
        <f t="shared" si="49"/>
        <v>0</v>
      </c>
      <c r="AB161" s="814"/>
      <c r="AC161" s="330"/>
      <c r="AD161" s="330"/>
      <c r="AE161" s="330"/>
      <c r="AF161" s="582"/>
      <c r="AG161" s="266"/>
      <c r="AH161" s="266"/>
      <c r="AI161" s="266"/>
      <c r="AJ161" s="266"/>
      <c r="AK161" s="266"/>
      <c r="AL161" s="266"/>
      <c r="AM161" s="266"/>
      <c r="AN161" s="266"/>
      <c r="AO161" s="266"/>
      <c r="AP161" s="266"/>
      <c r="AQ161" s="266"/>
      <c r="AR161" s="266"/>
      <c r="AS161" s="266"/>
    </row>
    <row r="162" spans="1:45" ht="28.5" customHeight="1">
      <c r="A162" s="281" t="s">
        <v>67</v>
      </c>
      <c r="B162" s="442" t="s">
        <v>314</v>
      </c>
      <c r="C162" s="531" t="s">
        <v>39</v>
      </c>
      <c r="D162" s="553">
        <v>768</v>
      </c>
      <c r="E162" s="383" t="s">
        <v>67</v>
      </c>
      <c r="F162" s="442" t="s">
        <v>314</v>
      </c>
      <c r="G162" s="531" t="s">
        <v>39</v>
      </c>
      <c r="H162" s="487">
        <v>768</v>
      </c>
      <c r="I162" s="320">
        <v>0.36363636363636365</v>
      </c>
      <c r="J162" s="277">
        <v>2.2</v>
      </c>
      <c r="K162" s="276">
        <v>0.8</v>
      </c>
      <c r="L162" s="276"/>
      <c r="M162" s="276">
        <v>0.05</v>
      </c>
      <c r="N162" s="300">
        <v>0.85</v>
      </c>
      <c r="O162" s="424">
        <f t="shared" si="44"/>
        <v>279.27272727272725</v>
      </c>
      <c r="P162" s="277">
        <f t="shared" si="45"/>
        <v>614.4000000000001</v>
      </c>
      <c r="Q162" s="277">
        <f t="shared" si="46"/>
        <v>0</v>
      </c>
      <c r="R162" s="277">
        <f t="shared" si="47"/>
        <v>38.400000000000006</v>
      </c>
      <c r="S162" s="369">
        <f t="shared" si="48"/>
        <v>652.8000000000001</v>
      </c>
      <c r="T162" s="413">
        <v>7.2</v>
      </c>
      <c r="U162" s="275">
        <f>ROUND(T162*K162,2)</f>
        <v>5.76</v>
      </c>
      <c r="V162" s="275">
        <f>ROUND(T162*L162,2)</f>
        <v>0</v>
      </c>
      <c r="W162" s="275">
        <f>T162*M162</f>
        <v>0.36000000000000004</v>
      </c>
      <c r="X162" s="280">
        <f>U162+V162+W162</f>
        <v>6.12</v>
      </c>
      <c r="Y162" s="275">
        <v>722.4</v>
      </c>
      <c r="Z162" s="275">
        <v>614.04</v>
      </c>
      <c r="AA162" s="275">
        <f t="shared" si="49"/>
        <v>32.64000000000011</v>
      </c>
      <c r="AB162" s="278"/>
      <c r="AC162" s="330"/>
      <c r="AD162" s="330"/>
      <c r="AE162" s="330"/>
      <c r="AF162" s="582"/>
      <c r="AG162" s="266"/>
      <c r="AH162" s="266"/>
      <c r="AI162" s="266"/>
      <c r="AJ162" s="266"/>
      <c r="AK162" s="266"/>
      <c r="AL162" s="266"/>
      <c r="AM162" s="266"/>
      <c r="AN162" s="266"/>
      <c r="AO162" s="266"/>
      <c r="AP162" s="266"/>
      <c r="AQ162" s="266"/>
      <c r="AR162" s="266"/>
      <c r="AS162" s="266"/>
    </row>
    <row r="163" spans="1:45" ht="33.75" customHeight="1">
      <c r="A163" s="281"/>
      <c r="B163" s="451" t="s">
        <v>315</v>
      </c>
      <c r="C163" s="531" t="s">
        <v>4</v>
      </c>
      <c r="D163" s="553">
        <v>829.44</v>
      </c>
      <c r="E163" s="383"/>
      <c r="F163" s="461" t="s">
        <v>428</v>
      </c>
      <c r="G163" s="531" t="s">
        <v>4</v>
      </c>
      <c r="H163" s="487">
        <v>829.44</v>
      </c>
      <c r="I163" s="343"/>
      <c r="J163" s="277"/>
      <c r="K163" s="277"/>
      <c r="L163" s="277">
        <v>4</v>
      </c>
      <c r="M163" s="277"/>
      <c r="N163" s="300">
        <v>4</v>
      </c>
      <c r="O163" s="424">
        <f t="shared" si="44"/>
        <v>0</v>
      </c>
      <c r="P163" s="277">
        <f t="shared" si="45"/>
        <v>0</v>
      </c>
      <c r="Q163" s="277">
        <f t="shared" si="46"/>
        <v>3317.76</v>
      </c>
      <c r="R163" s="277">
        <f t="shared" si="47"/>
        <v>0</v>
      </c>
      <c r="S163" s="369">
        <f t="shared" si="48"/>
        <v>3317.76</v>
      </c>
      <c r="T163" s="413">
        <v>0</v>
      </c>
      <c r="U163" s="275">
        <f>ROUND(T163*K163,2)</f>
        <v>0</v>
      </c>
      <c r="V163" s="275">
        <f>ROUND(T163*L163,2)</f>
        <v>0</v>
      </c>
      <c r="W163" s="275">
        <f>T163*M163</f>
        <v>0</v>
      </c>
      <c r="X163" s="280">
        <f>U163+V163+W163</f>
        <v>0</v>
      </c>
      <c r="Y163" s="275">
        <v>829.44</v>
      </c>
      <c r="Z163" s="275">
        <v>3317.76</v>
      </c>
      <c r="AA163" s="275">
        <f t="shared" si="49"/>
        <v>0</v>
      </c>
      <c r="AB163" s="278"/>
      <c r="AC163" s="330"/>
      <c r="AD163" s="330"/>
      <c r="AE163" s="330"/>
      <c r="AF163" s="582"/>
      <c r="AG163" s="266"/>
      <c r="AH163" s="266"/>
      <c r="AI163" s="266"/>
      <c r="AJ163" s="266"/>
      <c r="AK163" s="266"/>
      <c r="AL163" s="266"/>
      <c r="AM163" s="266"/>
      <c r="AN163" s="266"/>
      <c r="AO163" s="266"/>
      <c r="AP163" s="266"/>
      <c r="AQ163" s="266"/>
      <c r="AR163" s="266"/>
      <c r="AS163" s="266"/>
    </row>
    <row r="164" spans="1:45" ht="24.75" customHeight="1">
      <c r="A164" s="281" t="s">
        <v>68</v>
      </c>
      <c r="B164" s="442" t="s">
        <v>224</v>
      </c>
      <c r="C164" s="531" t="s">
        <v>39</v>
      </c>
      <c r="D164" s="553">
        <v>768</v>
      </c>
      <c r="E164" s="383" t="s">
        <v>68</v>
      </c>
      <c r="F164" s="442" t="s">
        <v>224</v>
      </c>
      <c r="G164" s="531" t="s">
        <v>39</v>
      </c>
      <c r="H164" s="487">
        <v>768</v>
      </c>
      <c r="I164" s="320">
        <v>0.20454545454545453</v>
      </c>
      <c r="J164" s="277">
        <v>2.2</v>
      </c>
      <c r="K164" s="277">
        <v>0.45</v>
      </c>
      <c r="L164" s="277"/>
      <c r="M164" s="277">
        <v>0.05</v>
      </c>
      <c r="N164" s="300">
        <v>0.5</v>
      </c>
      <c r="O164" s="424">
        <f t="shared" si="44"/>
        <v>157.09090909090907</v>
      </c>
      <c r="P164" s="277">
        <f t="shared" si="45"/>
        <v>345.6</v>
      </c>
      <c r="Q164" s="277">
        <f t="shared" si="46"/>
        <v>0</v>
      </c>
      <c r="R164" s="277">
        <f t="shared" si="47"/>
        <v>38.400000000000006</v>
      </c>
      <c r="S164" s="369">
        <f t="shared" si="48"/>
        <v>384</v>
      </c>
      <c r="T164" s="413">
        <v>7.2</v>
      </c>
      <c r="U164" s="275">
        <f>ROUND(T164*K164,2)</f>
        <v>3.24</v>
      </c>
      <c r="V164" s="275">
        <f>ROUND(T164*L164,2)</f>
        <v>0</v>
      </c>
      <c r="W164" s="275">
        <f>T164*M164</f>
        <v>0.36000000000000004</v>
      </c>
      <c r="X164" s="280">
        <f>U164+V164+W164</f>
        <v>3.6</v>
      </c>
      <c r="Y164" s="275">
        <v>722.4</v>
      </c>
      <c r="Z164" s="275">
        <v>361.2</v>
      </c>
      <c r="AA164" s="275">
        <f t="shared" si="49"/>
        <v>19.20000000000001</v>
      </c>
      <c r="AB164" s="278"/>
      <c r="AC164" s="330"/>
      <c r="AD164" s="330"/>
      <c r="AE164" s="330"/>
      <c r="AF164" s="582"/>
      <c r="AG164" s="266"/>
      <c r="AH164" s="266"/>
      <c r="AI164" s="266"/>
      <c r="AJ164" s="266"/>
      <c r="AK164" s="266"/>
      <c r="AL164" s="266"/>
      <c r="AM164" s="266"/>
      <c r="AN164" s="266"/>
      <c r="AO164" s="266"/>
      <c r="AP164" s="266"/>
      <c r="AQ164" s="266"/>
      <c r="AR164" s="266"/>
      <c r="AS164" s="266"/>
    </row>
    <row r="165" spans="1:45" ht="15" customHeight="1">
      <c r="A165" s="281"/>
      <c r="B165" s="451" t="s">
        <v>225</v>
      </c>
      <c r="C165" s="531" t="s">
        <v>4</v>
      </c>
      <c r="D165" s="553">
        <v>829.44</v>
      </c>
      <c r="E165" s="383"/>
      <c r="F165" s="451" t="s">
        <v>225</v>
      </c>
      <c r="G165" s="531" t="s">
        <v>4</v>
      </c>
      <c r="H165" s="487">
        <v>829.44</v>
      </c>
      <c r="I165" s="343"/>
      <c r="J165" s="277"/>
      <c r="K165" s="277"/>
      <c r="L165" s="277">
        <v>1.65</v>
      </c>
      <c r="M165" s="277"/>
      <c r="N165" s="300">
        <v>1.65</v>
      </c>
      <c r="O165" s="424">
        <f t="shared" si="44"/>
        <v>0</v>
      </c>
      <c r="P165" s="277">
        <f t="shared" si="45"/>
        <v>0</v>
      </c>
      <c r="Q165" s="277">
        <f t="shared" si="46"/>
        <v>1368.576</v>
      </c>
      <c r="R165" s="277">
        <f t="shared" si="47"/>
        <v>0</v>
      </c>
      <c r="S165" s="369">
        <f t="shared" si="48"/>
        <v>1368.576</v>
      </c>
      <c r="T165" s="413"/>
      <c r="U165" s="275">
        <f>ROUND(T165*K165,2)</f>
        <v>0</v>
      </c>
      <c r="V165" s="275">
        <f>ROUND(T165*L165,2)</f>
        <v>0</v>
      </c>
      <c r="W165" s="275">
        <f>T165*M165</f>
        <v>0</v>
      </c>
      <c r="X165" s="280">
        <f>U165+V165+W165</f>
        <v>0</v>
      </c>
      <c r="Y165" s="275">
        <v>829.4442424240001</v>
      </c>
      <c r="Z165" s="275">
        <v>1368.58</v>
      </c>
      <c r="AA165" s="275">
        <f t="shared" si="49"/>
        <v>-0.0039999999999054126</v>
      </c>
      <c r="AB165" s="278"/>
      <c r="AC165" s="330"/>
      <c r="AD165" s="330"/>
      <c r="AE165" s="330"/>
      <c r="AF165" s="582"/>
      <c r="AG165" s="266"/>
      <c r="AH165" s="266"/>
      <c r="AI165" s="266"/>
      <c r="AJ165" s="266"/>
      <c r="AK165" s="266"/>
      <c r="AL165" s="266"/>
      <c r="AM165" s="266"/>
      <c r="AN165" s="266"/>
      <c r="AO165" s="266"/>
      <c r="AP165" s="266"/>
      <c r="AQ165" s="266"/>
      <c r="AR165" s="266"/>
      <c r="AS165" s="266"/>
    </row>
    <row r="166" spans="1:45" ht="28.5" customHeight="1">
      <c r="A166" s="281"/>
      <c r="B166" s="451" t="s">
        <v>226</v>
      </c>
      <c r="C166" s="531" t="s">
        <v>8</v>
      </c>
      <c r="D166" s="553">
        <v>3840</v>
      </c>
      <c r="E166" s="383"/>
      <c r="F166" s="451" t="s">
        <v>226</v>
      </c>
      <c r="G166" s="531" t="s">
        <v>8</v>
      </c>
      <c r="H166" s="487">
        <v>3840</v>
      </c>
      <c r="I166" s="343"/>
      <c r="J166" s="277"/>
      <c r="K166" s="277"/>
      <c r="L166" s="277">
        <v>0.08</v>
      </c>
      <c r="M166" s="277"/>
      <c r="N166" s="300">
        <v>0.08</v>
      </c>
      <c r="O166" s="424">
        <f t="shared" si="44"/>
        <v>0</v>
      </c>
      <c r="P166" s="277">
        <f t="shared" si="45"/>
        <v>0</v>
      </c>
      <c r="Q166" s="277">
        <f t="shared" si="46"/>
        <v>307.2</v>
      </c>
      <c r="R166" s="277">
        <f t="shared" si="47"/>
        <v>0</v>
      </c>
      <c r="S166" s="369">
        <f t="shared" si="48"/>
        <v>307.2</v>
      </c>
      <c r="T166" s="413"/>
      <c r="U166" s="275">
        <f>ROUND(T166*K166,2)</f>
        <v>0</v>
      </c>
      <c r="V166" s="275">
        <f>ROUND(T166*L166,2)</f>
        <v>0</v>
      </c>
      <c r="W166" s="275">
        <f>T166*M166</f>
        <v>0</v>
      </c>
      <c r="X166" s="280">
        <f>U166+V166+W166</f>
        <v>0</v>
      </c>
      <c r="Y166" s="275">
        <v>3840</v>
      </c>
      <c r="Z166" s="275">
        <v>307.2</v>
      </c>
      <c r="AA166" s="275">
        <f t="shared" si="49"/>
        <v>0</v>
      </c>
      <c r="AB166" s="278"/>
      <c r="AC166" s="330"/>
      <c r="AD166" s="330"/>
      <c r="AE166" s="330"/>
      <c r="AF166" s="582"/>
      <c r="AG166" s="266"/>
      <c r="AH166" s="266"/>
      <c r="AI166" s="266"/>
      <c r="AJ166" s="266"/>
      <c r="AK166" s="266"/>
      <c r="AL166" s="266"/>
      <c r="AM166" s="266"/>
      <c r="AN166" s="266"/>
      <c r="AO166" s="266"/>
      <c r="AP166" s="266"/>
      <c r="AQ166" s="266"/>
      <c r="AR166" s="266"/>
      <c r="AS166" s="266"/>
    </row>
    <row r="167" spans="1:45" ht="15" customHeight="1">
      <c r="A167" s="281" t="s">
        <v>68</v>
      </c>
      <c r="B167" s="437" t="s">
        <v>99</v>
      </c>
      <c r="C167" s="521" t="s">
        <v>7</v>
      </c>
      <c r="D167" s="552">
        <v>768</v>
      </c>
      <c r="E167" s="382" t="s">
        <v>598</v>
      </c>
      <c r="F167" s="437" t="s">
        <v>99</v>
      </c>
      <c r="G167" s="521" t="s">
        <v>7</v>
      </c>
      <c r="H167" s="486">
        <v>768</v>
      </c>
      <c r="I167" s="320">
        <v>0.25</v>
      </c>
      <c r="J167" s="277">
        <v>2.2</v>
      </c>
      <c r="K167" s="276">
        <v>0.55</v>
      </c>
      <c r="L167" s="276">
        <v>0.89</v>
      </c>
      <c r="M167" s="276">
        <v>0.2</v>
      </c>
      <c r="N167" s="300">
        <v>1.64</v>
      </c>
      <c r="O167" s="424">
        <f t="shared" si="44"/>
        <v>192</v>
      </c>
      <c r="P167" s="277">
        <f t="shared" si="45"/>
        <v>422.40000000000003</v>
      </c>
      <c r="Q167" s="277">
        <f t="shared" si="46"/>
        <v>683.52</v>
      </c>
      <c r="R167" s="277">
        <f t="shared" si="47"/>
        <v>153.60000000000002</v>
      </c>
      <c r="S167" s="369">
        <f t="shared" si="48"/>
        <v>1259.52</v>
      </c>
      <c r="T167" s="294"/>
      <c r="U167" s="275"/>
      <c r="V167" s="275"/>
      <c r="W167" s="275"/>
      <c r="X167" s="275"/>
      <c r="Y167" s="275">
        <v>768</v>
      </c>
      <c r="Z167" s="275">
        <v>1259.52</v>
      </c>
      <c r="AA167" s="275">
        <f t="shared" si="49"/>
        <v>0</v>
      </c>
      <c r="AB167" s="278"/>
      <c r="AC167" s="330"/>
      <c r="AD167" s="330"/>
      <c r="AE167" s="330"/>
      <c r="AF167" s="582"/>
      <c r="AG167" s="266"/>
      <c r="AH167" s="266"/>
      <c r="AI167" s="266"/>
      <c r="AJ167" s="266"/>
      <c r="AK167" s="266"/>
      <c r="AL167" s="266"/>
      <c r="AM167" s="266"/>
      <c r="AN167" s="266"/>
      <c r="AO167" s="266"/>
      <c r="AP167" s="266"/>
      <c r="AQ167" s="266"/>
      <c r="AR167" s="266"/>
      <c r="AS167" s="266"/>
    </row>
    <row r="168" spans="1:45" s="81" customFormat="1" ht="32.25" customHeight="1">
      <c r="A168" s="281" t="s">
        <v>69</v>
      </c>
      <c r="B168" s="437" t="s">
        <v>394</v>
      </c>
      <c r="C168" s="531" t="s">
        <v>39</v>
      </c>
      <c r="D168" s="553">
        <v>768</v>
      </c>
      <c r="E168" s="383" t="s">
        <v>69</v>
      </c>
      <c r="F168" s="437" t="s">
        <v>394</v>
      </c>
      <c r="G168" s="531" t="s">
        <v>39</v>
      </c>
      <c r="H168" s="487">
        <v>768</v>
      </c>
      <c r="I168" s="320">
        <v>0.5</v>
      </c>
      <c r="J168" s="277">
        <v>2.2</v>
      </c>
      <c r="K168" s="276">
        <v>1.1</v>
      </c>
      <c r="L168" s="276"/>
      <c r="M168" s="276">
        <v>0.3</v>
      </c>
      <c r="N168" s="300">
        <v>1.4</v>
      </c>
      <c r="O168" s="424">
        <f t="shared" si="44"/>
        <v>384</v>
      </c>
      <c r="P168" s="277">
        <f t="shared" si="45"/>
        <v>844.8000000000001</v>
      </c>
      <c r="Q168" s="277">
        <f t="shared" si="46"/>
        <v>0</v>
      </c>
      <c r="R168" s="277">
        <f t="shared" si="47"/>
        <v>230.39999999999998</v>
      </c>
      <c r="S168" s="369">
        <f t="shared" si="48"/>
        <v>1075.2</v>
      </c>
      <c r="T168" s="413">
        <v>7.2</v>
      </c>
      <c r="U168" s="275">
        <f>ROUND(T168*K168,2)</f>
        <v>7.92</v>
      </c>
      <c r="V168" s="275">
        <f>ROUND(T168*L168,2)</f>
        <v>0</v>
      </c>
      <c r="W168" s="275">
        <f>T168*M168</f>
        <v>2.16</v>
      </c>
      <c r="X168" s="280">
        <f>U168+V168+W168</f>
        <v>10.08</v>
      </c>
      <c r="Y168" s="275">
        <v>722.4</v>
      </c>
      <c r="Z168" s="275">
        <v>1011.36</v>
      </c>
      <c r="AA168" s="275">
        <f t="shared" si="49"/>
        <v>53.76000000000003</v>
      </c>
      <c r="AB168" s="278" t="s">
        <v>435</v>
      </c>
      <c r="AC168" s="330"/>
      <c r="AD168" s="330"/>
      <c r="AE168" s="330"/>
      <c r="AF168" s="582"/>
      <c r="AG168" s="266"/>
      <c r="AH168" s="266"/>
      <c r="AI168" s="266"/>
      <c r="AJ168" s="266"/>
      <c r="AK168" s="266"/>
      <c r="AL168" s="266"/>
      <c r="AM168" s="266"/>
      <c r="AN168" s="266"/>
      <c r="AO168" s="266"/>
      <c r="AP168" s="266"/>
      <c r="AQ168" s="266"/>
      <c r="AR168" s="266"/>
      <c r="AS168" s="266"/>
    </row>
    <row r="169" spans="1:45" s="81" customFormat="1" ht="15" customHeight="1">
      <c r="A169" s="281"/>
      <c r="B169" s="451" t="s">
        <v>227</v>
      </c>
      <c r="C169" s="519" t="s">
        <v>4</v>
      </c>
      <c r="D169" s="553">
        <v>844.8</v>
      </c>
      <c r="E169" s="383"/>
      <c r="F169" s="451" t="s">
        <v>227</v>
      </c>
      <c r="G169" s="519" t="s">
        <v>4</v>
      </c>
      <c r="H169" s="487">
        <v>844.8</v>
      </c>
      <c r="I169" s="320"/>
      <c r="J169" s="276"/>
      <c r="K169" s="276"/>
      <c r="L169" s="276">
        <v>0.98</v>
      </c>
      <c r="M169" s="276"/>
      <c r="N169" s="300">
        <v>0.98</v>
      </c>
      <c r="O169" s="424">
        <f t="shared" si="44"/>
        <v>0</v>
      </c>
      <c r="P169" s="277">
        <f t="shared" si="45"/>
        <v>0</v>
      </c>
      <c r="Q169" s="277">
        <f t="shared" si="46"/>
        <v>827.904</v>
      </c>
      <c r="R169" s="277">
        <f t="shared" si="47"/>
        <v>0</v>
      </c>
      <c r="S169" s="369">
        <f t="shared" si="48"/>
        <v>827.904</v>
      </c>
      <c r="T169" s="294"/>
      <c r="U169" s="275"/>
      <c r="V169" s="275"/>
      <c r="W169" s="275"/>
      <c r="X169" s="275"/>
      <c r="Y169" s="275">
        <v>844.8</v>
      </c>
      <c r="Z169" s="275">
        <v>827.9</v>
      </c>
      <c r="AA169" s="275">
        <f t="shared" si="49"/>
        <v>0.004000000000019099</v>
      </c>
      <c r="AB169" s="278"/>
      <c r="AC169" s="330"/>
      <c r="AD169" s="330"/>
      <c r="AE169" s="330"/>
      <c r="AF169" s="582"/>
      <c r="AG169" s="266"/>
      <c r="AH169" s="266"/>
      <c r="AI169" s="266"/>
      <c r="AJ169" s="266"/>
      <c r="AK169" s="266"/>
      <c r="AL169" s="266"/>
      <c r="AM169" s="266"/>
      <c r="AN169" s="266"/>
      <c r="AO169" s="266"/>
      <c r="AP169" s="266"/>
      <c r="AQ169" s="266"/>
      <c r="AR169" s="266"/>
      <c r="AS169" s="266"/>
    </row>
    <row r="170" spans="1:45" s="81" customFormat="1" ht="15" customHeight="1">
      <c r="A170" s="281"/>
      <c r="B170" s="451" t="s">
        <v>228</v>
      </c>
      <c r="C170" s="519" t="s">
        <v>4</v>
      </c>
      <c r="D170" s="553">
        <v>844.8</v>
      </c>
      <c r="E170" s="383"/>
      <c r="F170" s="451" t="s">
        <v>228</v>
      </c>
      <c r="G170" s="519" t="s">
        <v>4</v>
      </c>
      <c r="H170" s="487">
        <v>844.8</v>
      </c>
      <c r="I170" s="320"/>
      <c r="J170" s="276"/>
      <c r="K170" s="276"/>
      <c r="L170" s="276">
        <v>1.08</v>
      </c>
      <c r="M170" s="276"/>
      <c r="N170" s="300">
        <v>1.08</v>
      </c>
      <c r="O170" s="424">
        <f t="shared" si="44"/>
        <v>0</v>
      </c>
      <c r="P170" s="277">
        <f t="shared" si="45"/>
        <v>0</v>
      </c>
      <c r="Q170" s="277">
        <f t="shared" si="46"/>
        <v>912.384</v>
      </c>
      <c r="R170" s="277">
        <f t="shared" si="47"/>
        <v>0</v>
      </c>
      <c r="S170" s="369">
        <f t="shared" si="48"/>
        <v>912.384</v>
      </c>
      <c r="T170" s="294"/>
      <c r="U170" s="275"/>
      <c r="V170" s="275"/>
      <c r="W170" s="275"/>
      <c r="X170" s="275"/>
      <c r="Y170" s="275">
        <v>844.8</v>
      </c>
      <c r="Z170" s="275">
        <v>912.38</v>
      </c>
      <c r="AA170" s="275">
        <f t="shared" si="49"/>
        <v>0.004000000000019099</v>
      </c>
      <c r="AB170" s="278"/>
      <c r="AC170" s="330"/>
      <c r="AD170" s="330"/>
      <c r="AE170" s="330"/>
      <c r="AF170" s="582"/>
      <c r="AG170" s="266"/>
      <c r="AH170" s="266"/>
      <c r="AI170" s="266"/>
      <c r="AJ170" s="266"/>
      <c r="AK170" s="266"/>
      <c r="AL170" s="266"/>
      <c r="AM170" s="266"/>
      <c r="AN170" s="266"/>
      <c r="AO170" s="266"/>
      <c r="AP170" s="266"/>
      <c r="AQ170" s="266"/>
      <c r="AR170" s="266"/>
      <c r="AS170" s="266"/>
    </row>
    <row r="171" spans="1:45" s="81" customFormat="1" ht="15" customHeight="1">
      <c r="A171" s="281"/>
      <c r="B171" s="451" t="s">
        <v>152</v>
      </c>
      <c r="C171" s="519" t="s">
        <v>4</v>
      </c>
      <c r="D171" s="553">
        <v>768</v>
      </c>
      <c r="E171" s="383"/>
      <c r="F171" s="451" t="s">
        <v>152</v>
      </c>
      <c r="G171" s="519" t="s">
        <v>4</v>
      </c>
      <c r="H171" s="487">
        <v>768</v>
      </c>
      <c r="I171" s="320"/>
      <c r="J171" s="276"/>
      <c r="K171" s="276"/>
      <c r="L171" s="276">
        <v>0.5</v>
      </c>
      <c r="M171" s="276"/>
      <c r="N171" s="300">
        <v>0.5</v>
      </c>
      <c r="O171" s="424">
        <f t="shared" si="44"/>
        <v>0</v>
      </c>
      <c r="P171" s="277">
        <f t="shared" si="45"/>
        <v>0</v>
      </c>
      <c r="Q171" s="277">
        <f t="shared" si="46"/>
        <v>384</v>
      </c>
      <c r="R171" s="277">
        <f t="shared" si="47"/>
        <v>0</v>
      </c>
      <c r="S171" s="369">
        <f t="shared" si="48"/>
        <v>384</v>
      </c>
      <c r="T171" s="294"/>
      <c r="U171" s="275"/>
      <c r="V171" s="275"/>
      <c r="W171" s="275"/>
      <c r="X171" s="275"/>
      <c r="Y171" s="275">
        <v>768</v>
      </c>
      <c r="Z171" s="275">
        <v>384</v>
      </c>
      <c r="AA171" s="275">
        <f t="shared" si="49"/>
        <v>0</v>
      </c>
      <c r="AB171" s="278"/>
      <c r="AC171" s="330"/>
      <c r="AD171" s="330"/>
      <c r="AE171" s="330"/>
      <c r="AF171" s="582"/>
      <c r="AG171" s="266"/>
      <c r="AH171" s="266"/>
      <c r="AI171" s="266"/>
      <c r="AJ171" s="266"/>
      <c r="AK171" s="266"/>
      <c r="AL171" s="266"/>
      <c r="AM171" s="266"/>
      <c r="AN171" s="266"/>
      <c r="AO171" s="266"/>
      <c r="AP171" s="266"/>
      <c r="AQ171" s="266"/>
      <c r="AR171" s="266"/>
      <c r="AS171" s="266"/>
    </row>
    <row r="172" spans="1:45" s="81" customFormat="1" ht="15" customHeight="1">
      <c r="A172" s="281"/>
      <c r="B172" s="462" t="s">
        <v>255</v>
      </c>
      <c r="C172" s="531" t="s">
        <v>3</v>
      </c>
      <c r="D172" s="553">
        <v>130</v>
      </c>
      <c r="E172" s="383"/>
      <c r="F172" s="462" t="s">
        <v>255</v>
      </c>
      <c r="G172" s="520"/>
      <c r="H172" s="487">
        <v>130</v>
      </c>
      <c r="I172" s="343"/>
      <c r="J172" s="277"/>
      <c r="K172" s="277"/>
      <c r="L172" s="277"/>
      <c r="M172" s="277"/>
      <c r="N172" s="300"/>
      <c r="O172" s="424"/>
      <c r="P172" s="277"/>
      <c r="Q172" s="277"/>
      <c r="R172" s="277"/>
      <c r="S172" s="369"/>
      <c r="T172" s="294"/>
      <c r="U172" s="275"/>
      <c r="V172" s="275"/>
      <c r="W172" s="275"/>
      <c r="X172" s="275"/>
      <c r="Y172" s="275">
        <v>0</v>
      </c>
      <c r="Z172" s="275">
        <v>0</v>
      </c>
      <c r="AA172" s="275">
        <f t="shared" si="49"/>
        <v>0</v>
      </c>
      <c r="AB172" s="278"/>
      <c r="AC172" s="330"/>
      <c r="AD172" s="330"/>
      <c r="AE172" s="330"/>
      <c r="AF172" s="582"/>
      <c r="AG172" s="266"/>
      <c r="AH172" s="266"/>
      <c r="AI172" s="266"/>
      <c r="AJ172" s="266"/>
      <c r="AK172" s="266"/>
      <c r="AL172" s="266"/>
      <c r="AM172" s="266"/>
      <c r="AN172" s="266"/>
      <c r="AO172" s="266"/>
      <c r="AP172" s="266"/>
      <c r="AQ172" s="266"/>
      <c r="AR172" s="266"/>
      <c r="AS172" s="266"/>
    </row>
    <row r="173" spans="1:45" s="55" customFormat="1" ht="15" customHeight="1">
      <c r="A173" s="281" t="s">
        <v>100</v>
      </c>
      <c r="B173" s="442" t="s">
        <v>229</v>
      </c>
      <c r="C173" s="519" t="s">
        <v>3</v>
      </c>
      <c r="D173" s="553">
        <v>99</v>
      </c>
      <c r="E173" s="383" t="s">
        <v>100</v>
      </c>
      <c r="F173" s="442" t="s">
        <v>229</v>
      </c>
      <c r="G173" s="519" t="s">
        <v>3</v>
      </c>
      <c r="H173" s="487">
        <v>99</v>
      </c>
      <c r="I173" s="320">
        <v>0.5454545454545454</v>
      </c>
      <c r="J173" s="277">
        <v>2.2</v>
      </c>
      <c r="K173" s="276">
        <v>1.2</v>
      </c>
      <c r="L173" s="276"/>
      <c r="M173" s="276">
        <v>0.25</v>
      </c>
      <c r="N173" s="300">
        <v>1.45</v>
      </c>
      <c r="O173" s="424">
        <f t="shared" si="44"/>
        <v>53.99999999999999</v>
      </c>
      <c r="P173" s="277">
        <f t="shared" si="45"/>
        <v>118.8</v>
      </c>
      <c r="Q173" s="277">
        <f t="shared" si="46"/>
        <v>0</v>
      </c>
      <c r="R173" s="277">
        <f t="shared" si="47"/>
        <v>24.75</v>
      </c>
      <c r="S173" s="369">
        <f t="shared" si="48"/>
        <v>143.55</v>
      </c>
      <c r="T173" s="294"/>
      <c r="U173" s="275"/>
      <c r="V173" s="275"/>
      <c r="W173" s="275"/>
      <c r="X173" s="275"/>
      <c r="Y173" s="275">
        <v>99</v>
      </c>
      <c r="Z173" s="275">
        <v>143.55</v>
      </c>
      <c r="AA173" s="275">
        <f t="shared" si="49"/>
        <v>0</v>
      </c>
      <c r="AB173" s="278"/>
      <c r="AC173" s="330"/>
      <c r="AD173" s="330"/>
      <c r="AE173" s="323"/>
      <c r="AF173" s="582"/>
      <c r="AG173" s="582"/>
      <c r="AH173" s="582"/>
      <c r="AI173" s="582"/>
      <c r="AJ173" s="323"/>
      <c r="AK173" s="586"/>
      <c r="AL173" s="586"/>
      <c r="AM173" s="586"/>
      <c r="AN173" s="586"/>
      <c r="AO173" s="586"/>
      <c r="AP173" s="266"/>
      <c r="AQ173" s="266"/>
      <c r="AR173" s="266"/>
      <c r="AS173" s="266"/>
    </row>
    <row r="174" spans="1:45" s="55" customFormat="1" ht="15" customHeight="1">
      <c r="A174" s="281"/>
      <c r="B174" s="451" t="s">
        <v>230</v>
      </c>
      <c r="C174" s="519" t="s">
        <v>3</v>
      </c>
      <c r="D174" s="553">
        <v>101.97</v>
      </c>
      <c r="E174" s="383"/>
      <c r="F174" s="451" t="s">
        <v>230</v>
      </c>
      <c r="G174" s="519" t="s">
        <v>3</v>
      </c>
      <c r="H174" s="487">
        <v>101.97</v>
      </c>
      <c r="I174" s="320"/>
      <c r="J174" s="276"/>
      <c r="K174" s="276"/>
      <c r="L174" s="276">
        <v>1.5</v>
      </c>
      <c r="M174" s="276"/>
      <c r="N174" s="300">
        <v>1.5</v>
      </c>
      <c r="O174" s="424">
        <f t="shared" si="44"/>
        <v>0</v>
      </c>
      <c r="P174" s="277">
        <f t="shared" si="45"/>
        <v>0</v>
      </c>
      <c r="Q174" s="277">
        <f t="shared" si="46"/>
        <v>152.95499999999998</v>
      </c>
      <c r="R174" s="277">
        <f t="shared" si="47"/>
        <v>0</v>
      </c>
      <c r="S174" s="369">
        <f t="shared" si="48"/>
        <v>152.95499999999998</v>
      </c>
      <c r="T174" s="294"/>
      <c r="U174" s="275"/>
      <c r="V174" s="275"/>
      <c r="W174" s="275"/>
      <c r="X174" s="275"/>
      <c r="Y174" s="275">
        <v>101.97</v>
      </c>
      <c r="Z174" s="275">
        <v>152.96</v>
      </c>
      <c r="AA174" s="275">
        <f t="shared" si="49"/>
        <v>-0.005000000000023874</v>
      </c>
      <c r="AB174" s="278"/>
      <c r="AC174" s="330"/>
      <c r="AD174" s="330"/>
      <c r="AE174" s="582"/>
      <c r="AF174" s="582"/>
      <c r="AG174" s="582"/>
      <c r="AH174" s="582"/>
      <c r="AI174" s="582"/>
      <c r="AJ174" s="323"/>
      <c r="AK174" s="586"/>
      <c r="AL174" s="586"/>
      <c r="AM174" s="586"/>
      <c r="AN174" s="586"/>
      <c r="AO174" s="586"/>
      <c r="AP174" s="266"/>
      <c r="AQ174" s="266"/>
      <c r="AR174" s="266"/>
      <c r="AS174" s="266"/>
    </row>
    <row r="175" spans="1:45" s="55" customFormat="1" ht="15" customHeight="1">
      <c r="A175" s="281"/>
      <c r="B175" s="463" t="s">
        <v>231</v>
      </c>
      <c r="C175" s="531" t="s">
        <v>10</v>
      </c>
      <c r="D175" s="553">
        <v>156</v>
      </c>
      <c r="E175" s="383"/>
      <c r="F175" s="463" t="s">
        <v>231</v>
      </c>
      <c r="G175" s="531" t="s">
        <v>10</v>
      </c>
      <c r="H175" s="487">
        <v>156</v>
      </c>
      <c r="I175" s="320"/>
      <c r="J175" s="276"/>
      <c r="K175" s="276"/>
      <c r="L175" s="276">
        <v>0.45</v>
      </c>
      <c r="M175" s="276"/>
      <c r="N175" s="300">
        <v>0.45</v>
      </c>
      <c r="O175" s="424">
        <f t="shared" si="44"/>
        <v>0</v>
      </c>
      <c r="P175" s="277">
        <f t="shared" si="45"/>
        <v>0</v>
      </c>
      <c r="Q175" s="277">
        <f t="shared" si="46"/>
        <v>70.2</v>
      </c>
      <c r="R175" s="277">
        <f t="shared" si="47"/>
        <v>0</v>
      </c>
      <c r="S175" s="369">
        <f t="shared" si="48"/>
        <v>70.2</v>
      </c>
      <c r="T175" s="294"/>
      <c r="U175" s="275"/>
      <c r="V175" s="275"/>
      <c r="W175" s="275"/>
      <c r="X175" s="275"/>
      <c r="Y175" s="275">
        <v>156</v>
      </c>
      <c r="Z175" s="275">
        <v>70.2</v>
      </c>
      <c r="AA175" s="275">
        <f t="shared" si="49"/>
        <v>0</v>
      </c>
      <c r="AB175" s="278"/>
      <c r="AC175" s="330"/>
      <c r="AD175" s="330"/>
      <c r="AE175" s="582"/>
      <c r="AF175" s="582"/>
      <c r="AG175" s="582"/>
      <c r="AH175" s="582"/>
      <c r="AI175" s="582"/>
      <c r="AJ175" s="323"/>
      <c r="AK175" s="586"/>
      <c r="AL175" s="586"/>
      <c r="AM175" s="586"/>
      <c r="AN175" s="586"/>
      <c r="AO175" s="586"/>
      <c r="AP175" s="266"/>
      <c r="AQ175" s="266"/>
      <c r="AR175" s="266"/>
      <c r="AS175" s="266"/>
    </row>
    <row r="176" spans="1:45" s="55" customFormat="1" ht="15" customHeight="1">
      <c r="A176" s="281"/>
      <c r="B176" s="453" t="s">
        <v>146</v>
      </c>
      <c r="C176" s="531" t="s">
        <v>10</v>
      </c>
      <c r="D176" s="553">
        <v>792</v>
      </c>
      <c r="E176" s="383"/>
      <c r="F176" s="453" t="s">
        <v>146</v>
      </c>
      <c r="G176" s="531" t="s">
        <v>10</v>
      </c>
      <c r="H176" s="487">
        <f>H173*8</f>
        <v>792</v>
      </c>
      <c r="I176" s="320"/>
      <c r="J176" s="276"/>
      <c r="K176" s="276"/>
      <c r="L176" s="276">
        <v>0.01</v>
      </c>
      <c r="M176" s="276"/>
      <c r="N176" s="300">
        <v>0.01</v>
      </c>
      <c r="O176" s="424">
        <f t="shared" si="44"/>
        <v>0</v>
      </c>
      <c r="P176" s="277">
        <f t="shared" si="45"/>
        <v>0</v>
      </c>
      <c r="Q176" s="277">
        <f t="shared" si="46"/>
        <v>7.92</v>
      </c>
      <c r="R176" s="277">
        <f t="shared" si="47"/>
        <v>0</v>
      </c>
      <c r="S176" s="369">
        <f t="shared" si="48"/>
        <v>7.92</v>
      </c>
      <c r="T176" s="294"/>
      <c r="U176" s="275"/>
      <c r="V176" s="275"/>
      <c r="W176" s="275"/>
      <c r="X176" s="275"/>
      <c r="Y176" s="275">
        <v>792</v>
      </c>
      <c r="Z176" s="275">
        <v>7.92</v>
      </c>
      <c r="AA176" s="275">
        <f t="shared" si="49"/>
        <v>0</v>
      </c>
      <c r="AB176" s="278"/>
      <c r="AC176" s="330"/>
      <c r="AD176" s="330"/>
      <c r="AE176" s="582"/>
      <c r="AF176" s="582"/>
      <c r="AG176" s="582"/>
      <c r="AH176" s="582"/>
      <c r="AI176" s="582"/>
      <c r="AJ176" s="323"/>
      <c r="AK176" s="586"/>
      <c r="AL176" s="586"/>
      <c r="AM176" s="586"/>
      <c r="AN176" s="586"/>
      <c r="AO176" s="586"/>
      <c r="AP176" s="278"/>
      <c r="AQ176" s="266"/>
      <c r="AR176" s="266"/>
      <c r="AS176" s="266"/>
    </row>
    <row r="177" spans="1:45" s="55" customFormat="1" ht="15" customHeight="1">
      <c r="A177" s="281" t="s">
        <v>114</v>
      </c>
      <c r="B177" s="464" t="s">
        <v>232</v>
      </c>
      <c r="C177" s="531" t="s">
        <v>3</v>
      </c>
      <c r="D177" s="553">
        <v>130</v>
      </c>
      <c r="E177" s="382" t="s">
        <v>114</v>
      </c>
      <c r="F177" s="464" t="s">
        <v>232</v>
      </c>
      <c r="G177" s="531" t="s">
        <v>3</v>
      </c>
      <c r="H177" s="487">
        <v>130</v>
      </c>
      <c r="I177" s="320">
        <v>0.5454545454545454</v>
      </c>
      <c r="J177" s="277">
        <v>2.2</v>
      </c>
      <c r="K177" s="276">
        <v>1.2</v>
      </c>
      <c r="L177" s="276"/>
      <c r="M177" s="276">
        <v>0.25</v>
      </c>
      <c r="N177" s="300">
        <v>1.45</v>
      </c>
      <c r="O177" s="424">
        <f t="shared" si="44"/>
        <v>70.9090909090909</v>
      </c>
      <c r="P177" s="277">
        <f t="shared" si="45"/>
        <v>156</v>
      </c>
      <c r="Q177" s="277">
        <f t="shared" si="46"/>
        <v>0</v>
      </c>
      <c r="R177" s="277">
        <f t="shared" si="47"/>
        <v>32.5</v>
      </c>
      <c r="S177" s="369">
        <f t="shared" si="48"/>
        <v>188.5</v>
      </c>
      <c r="T177" s="294"/>
      <c r="U177" s="275"/>
      <c r="V177" s="275"/>
      <c r="W177" s="275"/>
      <c r="X177" s="275"/>
      <c r="Y177" s="275">
        <v>130</v>
      </c>
      <c r="Z177" s="275">
        <v>188.5</v>
      </c>
      <c r="AA177" s="275">
        <f t="shared" si="49"/>
        <v>0</v>
      </c>
      <c r="AB177" s="278"/>
      <c r="AC177" s="330"/>
      <c r="AD177" s="330"/>
      <c r="AE177" s="323"/>
      <c r="AF177" s="582"/>
      <c r="AG177" s="582"/>
      <c r="AH177" s="582"/>
      <c r="AI177" s="582"/>
      <c r="AJ177" s="323"/>
      <c r="AK177" s="586"/>
      <c r="AL177" s="586"/>
      <c r="AM177" s="586"/>
      <c r="AN177" s="586"/>
      <c r="AO177" s="586"/>
      <c r="AP177" s="266"/>
      <c r="AQ177" s="266"/>
      <c r="AR177" s="266"/>
      <c r="AS177" s="266"/>
    </row>
    <row r="178" spans="1:45" s="55" customFormat="1" ht="15" customHeight="1">
      <c r="A178" s="281"/>
      <c r="B178" s="463" t="s">
        <v>233</v>
      </c>
      <c r="C178" s="531" t="s">
        <v>3</v>
      </c>
      <c r="D178" s="553">
        <v>133.9</v>
      </c>
      <c r="E178" s="382"/>
      <c r="F178" s="463" t="s">
        <v>233</v>
      </c>
      <c r="G178" s="531" t="s">
        <v>3</v>
      </c>
      <c r="H178" s="487">
        <f>H177*1.03</f>
        <v>133.9</v>
      </c>
      <c r="I178" s="320"/>
      <c r="J178" s="276"/>
      <c r="K178" s="276"/>
      <c r="L178" s="276">
        <v>1.75</v>
      </c>
      <c r="M178" s="276"/>
      <c r="N178" s="300">
        <v>1.75</v>
      </c>
      <c r="O178" s="424">
        <f t="shared" si="44"/>
        <v>0</v>
      </c>
      <c r="P178" s="277">
        <f t="shared" si="45"/>
        <v>0</v>
      </c>
      <c r="Q178" s="277">
        <f t="shared" si="46"/>
        <v>234.32500000000002</v>
      </c>
      <c r="R178" s="277">
        <f t="shared" si="47"/>
        <v>0</v>
      </c>
      <c r="S178" s="369">
        <f t="shared" si="48"/>
        <v>234.32500000000002</v>
      </c>
      <c r="T178" s="294"/>
      <c r="U178" s="275"/>
      <c r="V178" s="275"/>
      <c r="W178" s="275"/>
      <c r="X178" s="275"/>
      <c r="Y178" s="275">
        <v>133.9</v>
      </c>
      <c r="Z178" s="275">
        <v>234.33</v>
      </c>
      <c r="AA178" s="275">
        <f t="shared" si="49"/>
        <v>-0.0049999999999954525</v>
      </c>
      <c r="AB178" s="278"/>
      <c r="AC178" s="330"/>
      <c r="AD178" s="330"/>
      <c r="AE178" s="582"/>
      <c r="AF178" s="582"/>
      <c r="AG178" s="582"/>
      <c r="AH178" s="582"/>
      <c r="AI178" s="582"/>
      <c r="AJ178" s="323"/>
      <c r="AK178" s="586"/>
      <c r="AL178" s="586"/>
      <c r="AM178" s="586"/>
      <c r="AN178" s="586"/>
      <c r="AO178" s="586"/>
      <c r="AP178" s="266"/>
      <c r="AQ178" s="266"/>
      <c r="AR178" s="266"/>
      <c r="AS178" s="266"/>
    </row>
    <row r="179" spans="1:45" s="55" customFormat="1" ht="15" customHeight="1">
      <c r="A179" s="281"/>
      <c r="B179" s="463" t="s">
        <v>146</v>
      </c>
      <c r="C179" s="531" t="s">
        <v>8</v>
      </c>
      <c r="D179" s="553">
        <v>535.6</v>
      </c>
      <c r="E179" s="382"/>
      <c r="F179" s="463" t="s">
        <v>146</v>
      </c>
      <c r="G179" s="531" t="s">
        <v>8</v>
      </c>
      <c r="H179" s="487">
        <f>H177*4.12</f>
        <v>535.6</v>
      </c>
      <c r="I179" s="364"/>
      <c r="J179" s="282"/>
      <c r="K179" s="282"/>
      <c r="L179" s="282">
        <v>0.01</v>
      </c>
      <c r="M179" s="282"/>
      <c r="N179" s="300">
        <v>0.01</v>
      </c>
      <c r="O179" s="424">
        <f t="shared" si="44"/>
        <v>0</v>
      </c>
      <c r="P179" s="277">
        <f t="shared" si="45"/>
        <v>0</v>
      </c>
      <c r="Q179" s="277">
        <f t="shared" si="46"/>
        <v>5.356000000000001</v>
      </c>
      <c r="R179" s="277">
        <f t="shared" si="47"/>
        <v>0</v>
      </c>
      <c r="S179" s="369">
        <f t="shared" si="48"/>
        <v>5.356000000000001</v>
      </c>
      <c r="T179" s="294"/>
      <c r="U179" s="275"/>
      <c r="V179" s="275"/>
      <c r="W179" s="275"/>
      <c r="X179" s="275"/>
      <c r="Y179" s="275">
        <v>535.6</v>
      </c>
      <c r="Z179" s="275">
        <v>5.36</v>
      </c>
      <c r="AA179" s="275">
        <f t="shared" si="49"/>
        <v>-0.0039999999999995595</v>
      </c>
      <c r="AB179" s="278"/>
      <c r="AC179" s="330"/>
      <c r="AD179" s="330"/>
      <c r="AE179" s="587"/>
      <c r="AF179" s="582"/>
      <c r="AG179" s="587"/>
      <c r="AH179" s="587"/>
      <c r="AI179" s="587"/>
      <c r="AJ179" s="323"/>
      <c r="AK179" s="586"/>
      <c r="AL179" s="586"/>
      <c r="AM179" s="586"/>
      <c r="AN179" s="586"/>
      <c r="AO179" s="586"/>
      <c r="AP179" s="278"/>
      <c r="AQ179" s="266"/>
      <c r="AR179" s="266"/>
      <c r="AS179" s="266"/>
    </row>
    <row r="180" spans="1:45" ht="29.25" customHeight="1">
      <c r="A180" s="281" t="s">
        <v>116</v>
      </c>
      <c r="B180" s="341" t="s">
        <v>234</v>
      </c>
      <c r="C180" s="521" t="s">
        <v>4</v>
      </c>
      <c r="D180" s="561">
        <v>130</v>
      </c>
      <c r="E180" s="382" t="s">
        <v>116</v>
      </c>
      <c r="F180" s="341" t="s">
        <v>234</v>
      </c>
      <c r="G180" s="521" t="s">
        <v>4</v>
      </c>
      <c r="H180" s="502">
        <v>130</v>
      </c>
      <c r="I180" s="320">
        <v>1.5909090909090908</v>
      </c>
      <c r="J180" s="277">
        <v>2.2</v>
      </c>
      <c r="K180" s="276">
        <v>3.5</v>
      </c>
      <c r="L180" s="276"/>
      <c r="M180" s="276">
        <v>0.1</v>
      </c>
      <c r="N180" s="300">
        <v>3.6</v>
      </c>
      <c r="O180" s="424">
        <f t="shared" si="44"/>
        <v>206.8181818181818</v>
      </c>
      <c r="P180" s="277">
        <f t="shared" si="45"/>
        <v>455</v>
      </c>
      <c r="Q180" s="277">
        <f t="shared" si="46"/>
        <v>0</v>
      </c>
      <c r="R180" s="277">
        <f t="shared" si="47"/>
        <v>13</v>
      </c>
      <c r="S180" s="369">
        <f t="shared" si="48"/>
        <v>468</v>
      </c>
      <c r="T180" s="294"/>
      <c r="U180" s="275"/>
      <c r="V180" s="275"/>
      <c r="W180" s="275"/>
      <c r="X180" s="275"/>
      <c r="Y180" s="275">
        <v>130</v>
      </c>
      <c r="Z180" s="275">
        <v>468</v>
      </c>
      <c r="AA180" s="275">
        <f t="shared" si="49"/>
        <v>0</v>
      </c>
      <c r="AB180" s="278"/>
      <c r="AC180" s="330"/>
      <c r="AD180" s="330"/>
      <c r="AE180" s="330"/>
      <c r="AF180" s="582"/>
      <c r="AG180" s="266"/>
      <c r="AH180" s="266"/>
      <c r="AI180" s="266"/>
      <c r="AJ180" s="266"/>
      <c r="AK180" s="266"/>
      <c r="AL180" s="266"/>
      <c r="AM180" s="266"/>
      <c r="AN180" s="266"/>
      <c r="AO180" s="266"/>
      <c r="AP180" s="266"/>
      <c r="AQ180" s="266"/>
      <c r="AR180" s="266"/>
      <c r="AS180" s="266"/>
    </row>
    <row r="181" spans="1:45" ht="15" customHeight="1">
      <c r="A181" s="281"/>
      <c r="B181" s="451" t="s">
        <v>235</v>
      </c>
      <c r="C181" s="519" t="s">
        <v>4</v>
      </c>
      <c r="D181" s="553">
        <v>143</v>
      </c>
      <c r="E181" s="383"/>
      <c r="F181" s="451" t="s">
        <v>235</v>
      </c>
      <c r="G181" s="519" t="s">
        <v>4</v>
      </c>
      <c r="H181" s="487">
        <v>143</v>
      </c>
      <c r="I181" s="320"/>
      <c r="J181" s="276"/>
      <c r="K181" s="276"/>
      <c r="L181" s="276">
        <v>6.5</v>
      </c>
      <c r="M181" s="276"/>
      <c r="N181" s="300">
        <v>6.5</v>
      </c>
      <c r="O181" s="424">
        <f t="shared" si="44"/>
        <v>0</v>
      </c>
      <c r="P181" s="277">
        <f t="shared" si="45"/>
        <v>0</v>
      </c>
      <c r="Q181" s="277">
        <f t="shared" si="46"/>
        <v>929.5</v>
      </c>
      <c r="R181" s="277">
        <f t="shared" si="47"/>
        <v>0</v>
      </c>
      <c r="S181" s="369">
        <f t="shared" si="48"/>
        <v>929.5</v>
      </c>
      <c r="T181" s="413">
        <v>0</v>
      </c>
      <c r="U181" s="275">
        <f>ROUND(T181*K181,2)</f>
        <v>0</v>
      </c>
      <c r="V181" s="275">
        <f>ROUND(T181*L181,2)</f>
        <v>0</v>
      </c>
      <c r="W181" s="275">
        <f>T181*M181</f>
        <v>0</v>
      </c>
      <c r="X181" s="280">
        <f>U181+V181+W181</f>
        <v>0</v>
      </c>
      <c r="Y181" s="275">
        <v>142.99599999999998</v>
      </c>
      <c r="Z181" s="275">
        <v>929.5</v>
      </c>
      <c r="AA181" s="275">
        <f t="shared" si="49"/>
        <v>0</v>
      </c>
      <c r="AB181" s="278"/>
      <c r="AC181" s="330"/>
      <c r="AD181" s="330"/>
      <c r="AE181" s="330"/>
      <c r="AF181" s="582"/>
      <c r="AG181" s="266"/>
      <c r="AH181" s="266"/>
      <c r="AI181" s="266"/>
      <c r="AJ181" s="266"/>
      <c r="AK181" s="266"/>
      <c r="AL181" s="266"/>
      <c r="AM181" s="266"/>
      <c r="AN181" s="266"/>
      <c r="AO181" s="266"/>
      <c r="AP181" s="266"/>
      <c r="AQ181" s="266"/>
      <c r="AR181" s="266"/>
      <c r="AS181" s="266"/>
    </row>
    <row r="182" spans="1:45" ht="15" customHeight="1">
      <c r="A182" s="281"/>
      <c r="B182" s="465" t="s">
        <v>236</v>
      </c>
      <c r="C182" s="531" t="s">
        <v>8</v>
      </c>
      <c r="D182" s="553">
        <v>520</v>
      </c>
      <c r="E182" s="383"/>
      <c r="F182" s="465" t="s">
        <v>236</v>
      </c>
      <c r="G182" s="531" t="s">
        <v>8</v>
      </c>
      <c r="H182" s="487">
        <v>520</v>
      </c>
      <c r="I182" s="320"/>
      <c r="J182" s="276"/>
      <c r="K182" s="276"/>
      <c r="L182" s="276">
        <v>0.02</v>
      </c>
      <c r="M182" s="276"/>
      <c r="N182" s="300">
        <v>0.02</v>
      </c>
      <c r="O182" s="424">
        <f t="shared" si="44"/>
        <v>0</v>
      </c>
      <c r="P182" s="277">
        <f t="shared" si="45"/>
        <v>0</v>
      </c>
      <c r="Q182" s="277">
        <f t="shared" si="46"/>
        <v>10.4</v>
      </c>
      <c r="R182" s="277">
        <f t="shared" si="47"/>
        <v>0</v>
      </c>
      <c r="S182" s="369">
        <f t="shared" si="48"/>
        <v>10.4</v>
      </c>
      <c r="T182" s="294"/>
      <c r="U182" s="275"/>
      <c r="V182" s="275"/>
      <c r="W182" s="275"/>
      <c r="X182" s="275"/>
      <c r="Y182" s="275">
        <v>520</v>
      </c>
      <c r="Z182" s="275">
        <v>10.4</v>
      </c>
      <c r="AA182" s="275">
        <f t="shared" si="49"/>
        <v>0</v>
      </c>
      <c r="AB182" s="278"/>
      <c r="AC182" s="330"/>
      <c r="AD182" s="330"/>
      <c r="AE182" s="330"/>
      <c r="AF182" s="582"/>
      <c r="AG182" s="266"/>
      <c r="AH182" s="266"/>
      <c r="AI182" s="266"/>
      <c r="AJ182" s="266"/>
      <c r="AK182" s="266"/>
      <c r="AL182" s="266"/>
      <c r="AM182" s="266"/>
      <c r="AN182" s="266"/>
      <c r="AO182" s="266"/>
      <c r="AP182" s="266"/>
      <c r="AQ182" s="266"/>
      <c r="AR182" s="266"/>
      <c r="AS182" s="266"/>
    </row>
    <row r="183" spans="1:45" ht="15" customHeight="1">
      <c r="A183" s="281"/>
      <c r="B183" s="465"/>
      <c r="C183" s="531"/>
      <c r="D183" s="553"/>
      <c r="E183" s="383" t="s">
        <v>599</v>
      </c>
      <c r="F183" s="466" t="s">
        <v>575</v>
      </c>
      <c r="G183" s="531" t="s">
        <v>4</v>
      </c>
      <c r="H183" s="487">
        <v>130</v>
      </c>
      <c r="I183" s="320">
        <f>K183/J183</f>
        <v>0.6818181818181818</v>
      </c>
      <c r="J183" s="277">
        <v>2.2</v>
      </c>
      <c r="K183" s="276">
        <v>1.5</v>
      </c>
      <c r="L183" s="276">
        <v>0.75</v>
      </c>
      <c r="M183" s="276">
        <v>0.1</v>
      </c>
      <c r="N183" s="300">
        <v>1.02</v>
      </c>
      <c r="O183" s="424">
        <f>H183*I183</f>
        <v>88.63636363636363</v>
      </c>
      <c r="P183" s="277">
        <f>H183*K183</f>
        <v>195</v>
      </c>
      <c r="Q183" s="277">
        <f>H183*L183</f>
        <v>97.5</v>
      </c>
      <c r="R183" s="277">
        <f>H183*M183</f>
        <v>13</v>
      </c>
      <c r="S183" s="369">
        <f>P183+Q183+R183</f>
        <v>305.5</v>
      </c>
      <c r="T183" s="294"/>
      <c r="U183" s="275"/>
      <c r="V183" s="275"/>
      <c r="W183" s="275"/>
      <c r="X183" s="275"/>
      <c r="Y183" s="275"/>
      <c r="Z183" s="275"/>
      <c r="AA183" s="275"/>
      <c r="AB183" s="278"/>
      <c r="AC183" s="330"/>
      <c r="AD183" s="330"/>
      <c r="AE183" s="330"/>
      <c r="AF183" s="582"/>
      <c r="AG183" s="266"/>
      <c r="AH183" s="266"/>
      <c r="AI183" s="266"/>
      <c r="AJ183" s="266"/>
      <c r="AK183" s="266"/>
      <c r="AL183" s="266"/>
      <c r="AM183" s="266"/>
      <c r="AN183" s="266"/>
      <c r="AO183" s="266"/>
      <c r="AP183" s="266"/>
      <c r="AQ183" s="266"/>
      <c r="AR183" s="266"/>
      <c r="AS183" s="266"/>
    </row>
    <row r="184" spans="1:45" ht="15" customHeight="1">
      <c r="A184" s="281" t="s">
        <v>153</v>
      </c>
      <c r="B184" s="441" t="s">
        <v>237</v>
      </c>
      <c r="C184" s="531" t="s">
        <v>4</v>
      </c>
      <c r="D184" s="553">
        <v>104</v>
      </c>
      <c r="E184" s="383" t="s">
        <v>153</v>
      </c>
      <c r="F184" s="441" t="s">
        <v>237</v>
      </c>
      <c r="G184" s="531" t="s">
        <v>4</v>
      </c>
      <c r="H184" s="487">
        <v>104</v>
      </c>
      <c r="I184" s="320">
        <v>0.3409090909090909</v>
      </c>
      <c r="J184" s="277">
        <v>2.2</v>
      </c>
      <c r="K184" s="276">
        <v>0.75</v>
      </c>
      <c r="L184" s="276">
        <v>1</v>
      </c>
      <c r="M184" s="276">
        <v>0.05</v>
      </c>
      <c r="N184" s="300">
        <v>1.8</v>
      </c>
      <c r="O184" s="424">
        <f t="shared" si="44"/>
        <v>35.45454545454545</v>
      </c>
      <c r="P184" s="277">
        <f t="shared" si="45"/>
        <v>78</v>
      </c>
      <c r="Q184" s="277">
        <f t="shared" si="46"/>
        <v>104</v>
      </c>
      <c r="R184" s="277">
        <f t="shared" si="47"/>
        <v>5.2</v>
      </c>
      <c r="S184" s="369">
        <f t="shared" si="48"/>
        <v>187.2</v>
      </c>
      <c r="T184" s="294">
        <v>46.8</v>
      </c>
      <c r="U184" s="275"/>
      <c r="V184" s="275"/>
      <c r="W184" s="275"/>
      <c r="X184" s="275"/>
      <c r="Y184" s="275">
        <v>57.2</v>
      </c>
      <c r="Z184" s="275">
        <v>102.96</v>
      </c>
      <c r="AA184" s="275">
        <f t="shared" si="49"/>
        <v>84.24</v>
      </c>
      <c r="AB184" s="296"/>
      <c r="AC184" s="330"/>
      <c r="AD184" s="330"/>
      <c r="AE184" s="330"/>
      <c r="AF184" s="582"/>
      <c r="AG184" s="266"/>
      <c r="AH184" s="266"/>
      <c r="AI184" s="266"/>
      <c r="AJ184" s="266"/>
      <c r="AK184" s="266"/>
      <c r="AL184" s="266"/>
      <c r="AM184" s="266"/>
      <c r="AN184" s="266"/>
      <c r="AO184" s="266"/>
      <c r="AP184" s="266"/>
      <c r="AQ184" s="266"/>
      <c r="AR184" s="266"/>
      <c r="AS184" s="266"/>
    </row>
    <row r="185" spans="1:45" ht="15" customHeight="1">
      <c r="A185" s="281" t="s">
        <v>238</v>
      </c>
      <c r="B185" s="341" t="s">
        <v>239</v>
      </c>
      <c r="C185" s="518" t="s">
        <v>4</v>
      </c>
      <c r="D185" s="552">
        <v>71.5</v>
      </c>
      <c r="E185" s="382" t="s">
        <v>238</v>
      </c>
      <c r="F185" s="341" t="s">
        <v>239</v>
      </c>
      <c r="G185" s="518" t="s">
        <v>4</v>
      </c>
      <c r="H185" s="486">
        <v>71.5</v>
      </c>
      <c r="I185" s="320">
        <v>1.3636363636363635</v>
      </c>
      <c r="J185" s="277">
        <v>2.2</v>
      </c>
      <c r="K185" s="276">
        <v>3</v>
      </c>
      <c r="L185" s="276"/>
      <c r="M185" s="276">
        <v>0.2</v>
      </c>
      <c r="N185" s="300">
        <v>3.2</v>
      </c>
      <c r="O185" s="424">
        <f t="shared" si="44"/>
        <v>97.49999999999999</v>
      </c>
      <c r="P185" s="277">
        <f t="shared" si="45"/>
        <v>214.5</v>
      </c>
      <c r="Q185" s="277">
        <f t="shared" si="46"/>
        <v>0</v>
      </c>
      <c r="R185" s="277">
        <f t="shared" si="47"/>
        <v>14.3</v>
      </c>
      <c r="S185" s="369">
        <f t="shared" si="48"/>
        <v>228.8</v>
      </c>
      <c r="T185" s="413">
        <v>3.58</v>
      </c>
      <c r="U185" s="275">
        <f>ROUND(T185*K185,2)</f>
        <v>10.74</v>
      </c>
      <c r="V185" s="275">
        <f>ROUND(T185*L185,2)</f>
        <v>0</v>
      </c>
      <c r="W185" s="275">
        <f>T185*M185</f>
        <v>0.7160000000000001</v>
      </c>
      <c r="X185" s="280">
        <f>U185+V185+W185</f>
        <v>11.456</v>
      </c>
      <c r="Y185" s="275">
        <v>64.35</v>
      </c>
      <c r="Z185" s="275">
        <v>205.92</v>
      </c>
      <c r="AA185" s="275">
        <f t="shared" si="49"/>
        <v>11.424000000000024</v>
      </c>
      <c r="AB185" s="278"/>
      <c r="AC185" s="330"/>
      <c r="AD185" s="330"/>
      <c r="AE185" s="330"/>
      <c r="AF185" s="582"/>
      <c r="AG185" s="266"/>
      <c r="AH185" s="266"/>
      <c r="AI185" s="266"/>
      <c r="AJ185" s="266"/>
      <c r="AK185" s="266"/>
      <c r="AL185" s="266"/>
      <c r="AM185" s="266"/>
      <c r="AN185" s="266"/>
      <c r="AO185" s="266"/>
      <c r="AP185" s="266"/>
      <c r="AQ185" s="266"/>
      <c r="AR185" s="266"/>
      <c r="AS185" s="266"/>
    </row>
    <row r="186" spans="1:45" ht="15" customHeight="1">
      <c r="A186" s="281"/>
      <c r="B186" s="449" t="s">
        <v>240</v>
      </c>
      <c r="C186" s="518" t="s">
        <v>4</v>
      </c>
      <c r="D186" s="552">
        <v>78.65</v>
      </c>
      <c r="E186" s="382"/>
      <c r="F186" s="449" t="s">
        <v>240</v>
      </c>
      <c r="G186" s="518" t="s">
        <v>4</v>
      </c>
      <c r="H186" s="486">
        <v>78.65</v>
      </c>
      <c r="I186" s="320"/>
      <c r="J186" s="276"/>
      <c r="K186" s="276"/>
      <c r="L186" s="276">
        <v>3.65</v>
      </c>
      <c r="M186" s="276"/>
      <c r="N186" s="300">
        <v>3.65</v>
      </c>
      <c r="O186" s="424">
        <f t="shared" si="44"/>
        <v>0</v>
      </c>
      <c r="P186" s="277">
        <f t="shared" si="45"/>
        <v>0</v>
      </c>
      <c r="Q186" s="277">
        <f t="shared" si="46"/>
        <v>287.0725</v>
      </c>
      <c r="R186" s="277">
        <f t="shared" si="47"/>
        <v>0</v>
      </c>
      <c r="S186" s="369">
        <f t="shared" si="48"/>
        <v>287.0725</v>
      </c>
      <c r="T186" s="294"/>
      <c r="U186" s="275"/>
      <c r="V186" s="275"/>
      <c r="W186" s="275"/>
      <c r="X186" s="275"/>
      <c r="Y186" s="275">
        <v>78.65</v>
      </c>
      <c r="Z186" s="275">
        <v>287.07</v>
      </c>
      <c r="AA186" s="275">
        <f t="shared" si="49"/>
        <v>0.0024999999999977263</v>
      </c>
      <c r="AB186" s="278"/>
      <c r="AC186" s="330"/>
      <c r="AD186" s="330"/>
      <c r="AE186" s="330"/>
      <c r="AF186" s="582"/>
      <c r="AG186" s="266"/>
      <c r="AH186" s="266"/>
      <c r="AI186" s="266"/>
      <c r="AJ186" s="266"/>
      <c r="AK186" s="266"/>
      <c r="AL186" s="266"/>
      <c r="AM186" s="266"/>
      <c r="AN186" s="266"/>
      <c r="AO186" s="266"/>
      <c r="AP186" s="266"/>
      <c r="AQ186" s="266"/>
      <c r="AR186" s="266"/>
      <c r="AS186" s="266"/>
    </row>
    <row r="187" spans="1:45" ht="15" customHeight="1">
      <c r="A187" s="281"/>
      <c r="B187" s="449" t="s">
        <v>146</v>
      </c>
      <c r="C187" s="518" t="s">
        <v>8</v>
      </c>
      <c r="D187" s="552">
        <v>429</v>
      </c>
      <c r="E187" s="382"/>
      <c r="F187" s="449" t="s">
        <v>146</v>
      </c>
      <c r="G187" s="518" t="s">
        <v>8</v>
      </c>
      <c r="H187" s="486">
        <v>429</v>
      </c>
      <c r="I187" s="320"/>
      <c r="J187" s="276"/>
      <c r="K187" s="276"/>
      <c r="L187" s="276">
        <v>0.01</v>
      </c>
      <c r="M187" s="276"/>
      <c r="N187" s="300">
        <v>0.01</v>
      </c>
      <c r="O187" s="424">
        <f t="shared" si="44"/>
        <v>0</v>
      </c>
      <c r="P187" s="277">
        <f t="shared" si="45"/>
        <v>0</v>
      </c>
      <c r="Q187" s="277">
        <f t="shared" si="46"/>
        <v>4.29</v>
      </c>
      <c r="R187" s="277">
        <f t="shared" si="47"/>
        <v>0</v>
      </c>
      <c r="S187" s="369">
        <f t="shared" si="48"/>
        <v>4.29</v>
      </c>
      <c r="T187" s="294"/>
      <c r="U187" s="275"/>
      <c r="V187" s="275"/>
      <c r="W187" s="275"/>
      <c r="X187" s="275"/>
      <c r="Y187" s="275">
        <v>429</v>
      </c>
      <c r="Z187" s="275">
        <v>4.29</v>
      </c>
      <c r="AA187" s="275">
        <f t="shared" si="49"/>
        <v>0</v>
      </c>
      <c r="AB187" s="278"/>
      <c r="AC187" s="330"/>
      <c r="AD187" s="330"/>
      <c r="AE187" s="330"/>
      <c r="AF187" s="582"/>
      <c r="AG187" s="266"/>
      <c r="AH187" s="266"/>
      <c r="AI187" s="266"/>
      <c r="AJ187" s="266"/>
      <c r="AK187" s="266"/>
      <c r="AL187" s="266"/>
      <c r="AM187" s="266"/>
      <c r="AN187" s="266"/>
      <c r="AO187" s="266"/>
      <c r="AP187" s="266"/>
      <c r="AQ187" s="266"/>
      <c r="AR187" s="266"/>
      <c r="AS187" s="266"/>
    </row>
    <row r="188" spans="1:45" ht="15" customHeight="1">
      <c r="A188" s="281" t="s">
        <v>241</v>
      </c>
      <c r="B188" s="441" t="s">
        <v>242</v>
      </c>
      <c r="C188" s="531" t="s">
        <v>3</v>
      </c>
      <c r="D188" s="553">
        <v>41</v>
      </c>
      <c r="E188" s="383" t="s">
        <v>241</v>
      </c>
      <c r="F188" s="441" t="s">
        <v>242</v>
      </c>
      <c r="G188" s="531" t="s">
        <v>3</v>
      </c>
      <c r="H188" s="487">
        <v>41</v>
      </c>
      <c r="I188" s="320">
        <v>1.4545454545454546</v>
      </c>
      <c r="J188" s="277">
        <v>2.2</v>
      </c>
      <c r="K188" s="276">
        <v>3.2</v>
      </c>
      <c r="L188" s="276"/>
      <c r="M188" s="276">
        <v>0.2</v>
      </c>
      <c r="N188" s="300">
        <v>3.4</v>
      </c>
      <c r="O188" s="424">
        <f t="shared" si="44"/>
        <v>59.63636363636364</v>
      </c>
      <c r="P188" s="277">
        <f t="shared" si="45"/>
        <v>131.20000000000002</v>
      </c>
      <c r="Q188" s="277">
        <f t="shared" si="46"/>
        <v>0</v>
      </c>
      <c r="R188" s="277">
        <f t="shared" si="47"/>
        <v>8.200000000000001</v>
      </c>
      <c r="S188" s="369">
        <f t="shared" si="48"/>
        <v>139.4</v>
      </c>
      <c r="T188" s="294">
        <v>41</v>
      </c>
      <c r="U188" s="275"/>
      <c r="V188" s="275"/>
      <c r="W188" s="275"/>
      <c r="X188" s="275"/>
      <c r="Y188" s="275">
        <v>0</v>
      </c>
      <c r="Z188" s="275">
        <v>0</v>
      </c>
      <c r="AA188" s="275">
        <f t="shared" si="49"/>
        <v>139.4</v>
      </c>
      <c r="AB188" s="322"/>
      <c r="AC188" s="330"/>
      <c r="AD188" s="330"/>
      <c r="AE188" s="330"/>
      <c r="AF188" s="582"/>
      <c r="AG188" s="266"/>
      <c r="AH188" s="266"/>
      <c r="AI188" s="266"/>
      <c r="AJ188" s="266"/>
      <c r="AK188" s="266"/>
      <c r="AL188" s="266"/>
      <c r="AM188" s="266"/>
      <c r="AN188" s="266"/>
      <c r="AO188" s="266"/>
      <c r="AP188" s="266"/>
      <c r="AQ188" s="266"/>
      <c r="AR188" s="266"/>
      <c r="AS188" s="266"/>
    </row>
    <row r="189" spans="1:45" ht="15" customHeight="1">
      <c r="A189" s="281"/>
      <c r="B189" s="451" t="s">
        <v>243</v>
      </c>
      <c r="C189" s="531" t="s">
        <v>4</v>
      </c>
      <c r="D189" s="553">
        <v>24.6</v>
      </c>
      <c r="E189" s="383"/>
      <c r="F189" s="451" t="s">
        <v>243</v>
      </c>
      <c r="G189" s="531" t="s">
        <v>4</v>
      </c>
      <c r="H189" s="487">
        <v>24.6</v>
      </c>
      <c r="I189" s="320"/>
      <c r="J189" s="276"/>
      <c r="K189" s="276"/>
      <c r="L189" s="276">
        <v>6.5</v>
      </c>
      <c r="M189" s="276"/>
      <c r="N189" s="300">
        <v>6.5</v>
      </c>
      <c r="O189" s="424">
        <f t="shared" si="44"/>
        <v>0</v>
      </c>
      <c r="P189" s="277">
        <f t="shared" si="45"/>
        <v>0</v>
      </c>
      <c r="Q189" s="277">
        <f t="shared" si="46"/>
        <v>159.9</v>
      </c>
      <c r="R189" s="277">
        <f t="shared" si="47"/>
        <v>0</v>
      </c>
      <c r="S189" s="369">
        <f t="shared" si="48"/>
        <v>159.9</v>
      </c>
      <c r="T189" s="294">
        <v>0</v>
      </c>
      <c r="U189" s="275"/>
      <c r="V189" s="275"/>
      <c r="W189" s="275"/>
      <c r="X189" s="275"/>
      <c r="Y189" s="275">
        <v>24.6</v>
      </c>
      <c r="Z189" s="275">
        <v>159.9</v>
      </c>
      <c r="AA189" s="275">
        <f t="shared" si="49"/>
        <v>0</v>
      </c>
      <c r="AB189" s="298"/>
      <c r="AC189" s="330"/>
      <c r="AD189" s="330"/>
      <c r="AE189" s="330"/>
      <c r="AF189" s="582"/>
      <c r="AG189" s="266"/>
      <c r="AH189" s="266"/>
      <c r="AI189" s="266"/>
      <c r="AJ189" s="266"/>
      <c r="AK189" s="266"/>
      <c r="AL189" s="266"/>
      <c r="AM189" s="266"/>
      <c r="AN189" s="266"/>
      <c r="AO189" s="266"/>
      <c r="AP189" s="266"/>
      <c r="AQ189" s="266"/>
      <c r="AR189" s="266"/>
      <c r="AS189" s="266"/>
    </row>
    <row r="190" spans="1:45" ht="15" customHeight="1">
      <c r="A190" s="281"/>
      <c r="B190" s="453" t="s">
        <v>35</v>
      </c>
      <c r="C190" s="531" t="s">
        <v>6</v>
      </c>
      <c r="D190" s="553">
        <v>0.41</v>
      </c>
      <c r="E190" s="383"/>
      <c r="F190" s="453" t="s">
        <v>35</v>
      </c>
      <c r="G190" s="531" t="s">
        <v>6</v>
      </c>
      <c r="H190" s="487">
        <v>0.41</v>
      </c>
      <c r="I190" s="320"/>
      <c r="J190" s="276"/>
      <c r="K190" s="276"/>
      <c r="L190" s="276">
        <v>110</v>
      </c>
      <c r="M190" s="276"/>
      <c r="N190" s="300">
        <v>110</v>
      </c>
      <c r="O190" s="424">
        <f t="shared" si="44"/>
        <v>0</v>
      </c>
      <c r="P190" s="277">
        <f t="shared" si="45"/>
        <v>0</v>
      </c>
      <c r="Q190" s="277">
        <f t="shared" si="46"/>
        <v>45.099999999999994</v>
      </c>
      <c r="R190" s="277">
        <f t="shared" si="47"/>
        <v>0</v>
      </c>
      <c r="S190" s="369">
        <f t="shared" si="48"/>
        <v>45.099999999999994</v>
      </c>
      <c r="T190" s="294">
        <v>0.41</v>
      </c>
      <c r="U190" s="275"/>
      <c r="V190" s="275"/>
      <c r="W190" s="275"/>
      <c r="X190" s="275"/>
      <c r="Y190" s="275">
        <v>0</v>
      </c>
      <c r="Z190" s="275">
        <v>0</v>
      </c>
      <c r="AA190" s="275">
        <f t="shared" si="49"/>
        <v>45.099999999999994</v>
      </c>
      <c r="AB190" s="298"/>
      <c r="AC190" s="330"/>
      <c r="AD190" s="330"/>
      <c r="AE190" s="330"/>
      <c r="AF190" s="582"/>
      <c r="AG190" s="266"/>
      <c r="AH190" s="266"/>
      <c r="AI190" s="266"/>
      <c r="AJ190" s="266"/>
      <c r="AK190" s="266"/>
      <c r="AL190" s="266"/>
      <c r="AM190" s="266"/>
      <c r="AN190" s="266"/>
      <c r="AO190" s="266"/>
      <c r="AP190" s="266"/>
      <c r="AQ190" s="266"/>
      <c r="AR190" s="266"/>
      <c r="AS190" s="266"/>
    </row>
    <row r="191" spans="1:45" ht="15" customHeight="1">
      <c r="A191" s="281"/>
      <c r="B191" s="449" t="s">
        <v>244</v>
      </c>
      <c r="C191" s="531" t="s">
        <v>4</v>
      </c>
      <c r="D191" s="553">
        <v>45.1</v>
      </c>
      <c r="E191" s="383"/>
      <c r="F191" s="449" t="s">
        <v>244</v>
      </c>
      <c r="G191" s="531" t="s">
        <v>4</v>
      </c>
      <c r="H191" s="487">
        <v>45.1</v>
      </c>
      <c r="I191" s="320"/>
      <c r="J191" s="276"/>
      <c r="K191" s="276"/>
      <c r="L191" s="276">
        <v>3.65</v>
      </c>
      <c r="M191" s="276"/>
      <c r="N191" s="300">
        <v>3.65</v>
      </c>
      <c r="O191" s="424">
        <f t="shared" si="44"/>
        <v>0</v>
      </c>
      <c r="P191" s="277">
        <f t="shared" si="45"/>
        <v>0</v>
      </c>
      <c r="Q191" s="277">
        <f t="shared" si="46"/>
        <v>164.615</v>
      </c>
      <c r="R191" s="277">
        <f t="shared" si="47"/>
        <v>0</v>
      </c>
      <c r="S191" s="369">
        <f t="shared" si="48"/>
        <v>164.615</v>
      </c>
      <c r="T191" s="294">
        <v>0</v>
      </c>
      <c r="U191" s="275"/>
      <c r="V191" s="275"/>
      <c r="W191" s="275"/>
      <c r="X191" s="275"/>
      <c r="Y191" s="275">
        <v>45.1</v>
      </c>
      <c r="Z191" s="275">
        <v>164.62</v>
      </c>
      <c r="AA191" s="275">
        <f t="shared" si="49"/>
        <v>-0.0049999999999954525</v>
      </c>
      <c r="AB191" s="298"/>
      <c r="AC191" s="330"/>
      <c r="AD191" s="330"/>
      <c r="AE191" s="330"/>
      <c r="AF191" s="582"/>
      <c r="AG191" s="266"/>
      <c r="AH191" s="266"/>
      <c r="AI191" s="266"/>
      <c r="AJ191" s="266"/>
      <c r="AK191" s="266"/>
      <c r="AL191" s="266"/>
      <c r="AM191" s="266"/>
      <c r="AN191" s="266"/>
      <c r="AO191" s="266"/>
      <c r="AP191" s="266"/>
      <c r="AQ191" s="266"/>
      <c r="AR191" s="266"/>
      <c r="AS191" s="266"/>
    </row>
    <row r="192" spans="1:45" ht="18" customHeight="1">
      <c r="A192" s="281"/>
      <c r="B192" s="453" t="s">
        <v>245</v>
      </c>
      <c r="C192" s="531" t="s">
        <v>3</v>
      </c>
      <c r="D192" s="553">
        <v>41</v>
      </c>
      <c r="E192" s="383"/>
      <c r="F192" s="453" t="s">
        <v>245</v>
      </c>
      <c r="G192" s="531" t="s">
        <v>3</v>
      </c>
      <c r="H192" s="487">
        <v>41</v>
      </c>
      <c r="I192" s="320"/>
      <c r="J192" s="276"/>
      <c r="K192" s="276"/>
      <c r="L192" s="276">
        <v>0.35</v>
      </c>
      <c r="M192" s="276"/>
      <c r="N192" s="300">
        <v>0.35</v>
      </c>
      <c r="O192" s="424">
        <f t="shared" si="44"/>
        <v>0</v>
      </c>
      <c r="P192" s="277">
        <f t="shared" si="45"/>
        <v>0</v>
      </c>
      <c r="Q192" s="277">
        <f t="shared" si="46"/>
        <v>14.35</v>
      </c>
      <c r="R192" s="277">
        <f t="shared" si="47"/>
        <v>0</v>
      </c>
      <c r="S192" s="369">
        <f t="shared" si="48"/>
        <v>14.35</v>
      </c>
      <c r="T192" s="294">
        <v>41</v>
      </c>
      <c r="U192" s="275"/>
      <c r="V192" s="275"/>
      <c r="W192" s="275"/>
      <c r="X192" s="275"/>
      <c r="Y192" s="275">
        <v>0</v>
      </c>
      <c r="Z192" s="275">
        <v>0</v>
      </c>
      <c r="AA192" s="275">
        <f t="shared" si="49"/>
        <v>14.35</v>
      </c>
      <c r="AB192" s="298"/>
      <c r="AC192" s="330"/>
      <c r="AD192" s="330"/>
      <c r="AE192" s="330"/>
      <c r="AF192" s="582"/>
      <c r="AG192" s="266"/>
      <c r="AH192" s="266"/>
      <c r="AI192" s="266"/>
      <c r="AJ192" s="266"/>
      <c r="AK192" s="266"/>
      <c r="AL192" s="266"/>
      <c r="AM192" s="266"/>
      <c r="AN192" s="266"/>
      <c r="AO192" s="266"/>
      <c r="AP192" s="266"/>
      <c r="AQ192" s="266"/>
      <c r="AR192" s="266"/>
      <c r="AS192" s="266"/>
    </row>
    <row r="193" spans="1:45" ht="28.5" customHeight="1">
      <c r="A193" s="281" t="s">
        <v>246</v>
      </c>
      <c r="B193" s="341" t="s">
        <v>256</v>
      </c>
      <c r="C193" s="518" t="s">
        <v>4</v>
      </c>
      <c r="D193" s="552">
        <v>19</v>
      </c>
      <c r="E193" s="382" t="s">
        <v>483</v>
      </c>
      <c r="F193" s="467" t="s">
        <v>394</v>
      </c>
      <c r="G193" s="531" t="s">
        <v>39</v>
      </c>
      <c r="H193" s="489">
        <v>19</v>
      </c>
      <c r="I193" s="320">
        <v>0.5</v>
      </c>
      <c r="J193" s="277">
        <v>2.2</v>
      </c>
      <c r="K193" s="276">
        <v>1.1</v>
      </c>
      <c r="L193" s="276"/>
      <c r="M193" s="276">
        <v>0.3</v>
      </c>
      <c r="N193" s="300">
        <v>1.4</v>
      </c>
      <c r="O193" s="424">
        <f>H193*I193</f>
        <v>9.5</v>
      </c>
      <c r="P193" s="277">
        <f>H193*K193</f>
        <v>20.900000000000002</v>
      </c>
      <c r="Q193" s="277">
        <f>H193*L193</f>
        <v>0</v>
      </c>
      <c r="R193" s="277">
        <f>H193*M193</f>
        <v>5.7</v>
      </c>
      <c r="S193" s="369">
        <f>P193+Q193+R193</f>
        <v>26.6</v>
      </c>
      <c r="T193" s="294"/>
      <c r="U193" s="275"/>
      <c r="V193" s="275"/>
      <c r="W193" s="275"/>
      <c r="X193" s="275"/>
      <c r="Y193" s="275">
        <v>0</v>
      </c>
      <c r="Z193" s="275">
        <v>0</v>
      </c>
      <c r="AA193" s="275">
        <f t="shared" si="49"/>
        <v>26.6</v>
      </c>
      <c r="AB193" s="814" t="s">
        <v>440</v>
      </c>
      <c r="AC193" s="330"/>
      <c r="AD193" s="330"/>
      <c r="AE193" s="330"/>
      <c r="AF193" s="582"/>
      <c r="AG193" s="266"/>
      <c r="AH193" s="266"/>
      <c r="AI193" s="266"/>
      <c r="AJ193" s="266"/>
      <c r="AK193" s="266"/>
      <c r="AL193" s="266"/>
      <c r="AM193" s="266"/>
      <c r="AN193" s="266"/>
      <c r="AO193" s="266"/>
      <c r="AP193" s="266"/>
      <c r="AQ193" s="266"/>
      <c r="AR193" s="266"/>
      <c r="AS193" s="266"/>
    </row>
    <row r="194" spans="1:45" ht="15" customHeight="1">
      <c r="A194" s="281"/>
      <c r="B194" s="449" t="s">
        <v>260</v>
      </c>
      <c r="C194" s="518" t="s">
        <v>4</v>
      </c>
      <c r="D194" s="552">
        <v>21.85</v>
      </c>
      <c r="E194" s="382"/>
      <c r="F194" s="451" t="s">
        <v>227</v>
      </c>
      <c r="G194" s="519" t="s">
        <v>4</v>
      </c>
      <c r="H194" s="503">
        <f>H193*1.1</f>
        <v>20.900000000000002</v>
      </c>
      <c r="I194" s="320"/>
      <c r="J194" s="276"/>
      <c r="K194" s="276"/>
      <c r="L194" s="276">
        <v>0.98</v>
      </c>
      <c r="M194" s="276"/>
      <c r="N194" s="300">
        <v>0.98</v>
      </c>
      <c r="O194" s="424">
        <f>H194*I194</f>
        <v>0</v>
      </c>
      <c r="P194" s="277">
        <f>H194*K194</f>
        <v>0</v>
      </c>
      <c r="Q194" s="277">
        <f>H194*L194</f>
        <v>20.482000000000003</v>
      </c>
      <c r="R194" s="277">
        <f>H194*M194</f>
        <v>0</v>
      </c>
      <c r="S194" s="369">
        <f>P194+Q194+R194</f>
        <v>20.482000000000003</v>
      </c>
      <c r="T194" s="294"/>
      <c r="U194" s="275"/>
      <c r="V194" s="275"/>
      <c r="W194" s="275"/>
      <c r="X194" s="275"/>
      <c r="Y194" s="275">
        <v>0</v>
      </c>
      <c r="Z194" s="275">
        <v>0</v>
      </c>
      <c r="AA194" s="275">
        <f t="shared" si="49"/>
        <v>20.482000000000003</v>
      </c>
      <c r="AB194" s="814"/>
      <c r="AC194" s="330"/>
      <c r="AD194" s="330"/>
      <c r="AE194" s="330"/>
      <c r="AF194" s="582"/>
      <c r="AG194" s="266"/>
      <c r="AH194" s="266"/>
      <c r="AI194" s="266"/>
      <c r="AJ194" s="266"/>
      <c r="AK194" s="266"/>
      <c r="AL194" s="266"/>
      <c r="AM194" s="266"/>
      <c r="AN194" s="266"/>
      <c r="AO194" s="266"/>
      <c r="AP194" s="266"/>
      <c r="AQ194" s="266"/>
      <c r="AR194" s="266"/>
      <c r="AS194" s="266"/>
    </row>
    <row r="195" spans="1:45" ht="15" customHeight="1">
      <c r="A195" s="283"/>
      <c r="B195" s="42"/>
      <c r="C195" s="576"/>
      <c r="D195" s="562"/>
      <c r="E195" s="382"/>
      <c r="F195" s="451" t="s">
        <v>228</v>
      </c>
      <c r="G195" s="519" t="s">
        <v>4</v>
      </c>
      <c r="H195" s="503">
        <f>H193*1.1</f>
        <v>20.900000000000002</v>
      </c>
      <c r="I195" s="320"/>
      <c r="J195" s="276"/>
      <c r="K195" s="276"/>
      <c r="L195" s="276">
        <v>1.08</v>
      </c>
      <c r="M195" s="276"/>
      <c r="N195" s="300">
        <v>1.08</v>
      </c>
      <c r="O195" s="424">
        <f>H195*I195</f>
        <v>0</v>
      </c>
      <c r="P195" s="277">
        <f>H195*K195</f>
        <v>0</v>
      </c>
      <c r="Q195" s="277">
        <f>H195*L195</f>
        <v>22.572000000000003</v>
      </c>
      <c r="R195" s="277">
        <f>H195*M195</f>
        <v>0</v>
      </c>
      <c r="S195" s="369">
        <f>P195+Q195+R195</f>
        <v>22.572000000000003</v>
      </c>
      <c r="T195" s="294"/>
      <c r="U195" s="275"/>
      <c r="V195" s="275"/>
      <c r="W195" s="275"/>
      <c r="X195" s="275"/>
      <c r="Y195" s="275">
        <v>0</v>
      </c>
      <c r="Z195" s="275">
        <v>0</v>
      </c>
      <c r="AA195" s="275">
        <f t="shared" si="49"/>
        <v>22.572000000000003</v>
      </c>
      <c r="AB195" s="814"/>
      <c r="AC195" s="330"/>
      <c r="AD195" s="330"/>
      <c r="AE195" s="330"/>
      <c r="AF195" s="582"/>
      <c r="AG195" s="266"/>
      <c r="AH195" s="266"/>
      <c r="AI195" s="266"/>
      <c r="AJ195" s="266"/>
      <c r="AK195" s="266"/>
      <c r="AL195" s="266"/>
      <c r="AM195" s="266"/>
      <c r="AN195" s="266"/>
      <c r="AO195" s="266"/>
      <c r="AP195" s="266"/>
      <c r="AQ195" s="266"/>
      <c r="AR195" s="266"/>
      <c r="AS195" s="266"/>
    </row>
    <row r="196" spans="1:45" ht="15" customHeight="1">
      <c r="A196" s="283"/>
      <c r="B196" s="449" t="s">
        <v>152</v>
      </c>
      <c r="C196" s="518" t="s">
        <v>4</v>
      </c>
      <c r="D196" s="552">
        <v>19</v>
      </c>
      <c r="E196" s="382"/>
      <c r="F196" s="451" t="s">
        <v>152</v>
      </c>
      <c r="G196" s="519" t="s">
        <v>4</v>
      </c>
      <c r="H196" s="487">
        <f>H193</f>
        <v>19</v>
      </c>
      <c r="I196" s="320"/>
      <c r="J196" s="276"/>
      <c r="K196" s="276"/>
      <c r="L196" s="276">
        <v>0.5</v>
      </c>
      <c r="M196" s="276"/>
      <c r="N196" s="300">
        <v>0.5</v>
      </c>
      <c r="O196" s="424">
        <f>H196*I196</f>
        <v>0</v>
      </c>
      <c r="P196" s="277">
        <f>H196*K196</f>
        <v>0</v>
      </c>
      <c r="Q196" s="277">
        <f>H196*L196</f>
        <v>9.5</v>
      </c>
      <c r="R196" s="277">
        <f>H196*M196</f>
        <v>0</v>
      </c>
      <c r="S196" s="369">
        <f>P196+Q196+R196</f>
        <v>9.5</v>
      </c>
      <c r="T196" s="294"/>
      <c r="U196" s="275"/>
      <c r="V196" s="275"/>
      <c r="W196" s="275"/>
      <c r="X196" s="275"/>
      <c r="Y196" s="275"/>
      <c r="Z196" s="275"/>
      <c r="AA196" s="275"/>
      <c r="AB196" s="323"/>
      <c r="AC196" s="330"/>
      <c r="AD196" s="330"/>
      <c r="AE196" s="330"/>
      <c r="AF196" s="582"/>
      <c r="AG196" s="266"/>
      <c r="AH196" s="266"/>
      <c r="AI196" s="266"/>
      <c r="AJ196" s="266"/>
      <c r="AK196" s="266"/>
      <c r="AL196" s="266"/>
      <c r="AM196" s="266"/>
      <c r="AN196" s="266"/>
      <c r="AO196" s="266"/>
      <c r="AP196" s="266"/>
      <c r="AQ196" s="266"/>
      <c r="AR196" s="266"/>
      <c r="AS196" s="266"/>
    </row>
    <row r="197" spans="1:45" ht="15" customHeight="1">
      <c r="A197" s="283"/>
      <c r="B197" s="449"/>
      <c r="C197" s="518"/>
      <c r="D197" s="552"/>
      <c r="E197" s="382" t="s">
        <v>600</v>
      </c>
      <c r="F197" s="468" t="s">
        <v>417</v>
      </c>
      <c r="G197" s="532" t="s">
        <v>418</v>
      </c>
      <c r="H197" s="504">
        <v>24.8</v>
      </c>
      <c r="I197" s="320"/>
      <c r="J197" s="276"/>
      <c r="K197" s="276"/>
      <c r="L197" s="276">
        <v>13.92</v>
      </c>
      <c r="M197" s="276"/>
      <c r="N197" s="300">
        <v>13.91774</v>
      </c>
      <c r="O197" s="424">
        <v>0</v>
      </c>
      <c r="P197" s="277">
        <v>0</v>
      </c>
      <c r="Q197" s="277">
        <f>H197*L197</f>
        <v>345.216</v>
      </c>
      <c r="R197" s="277">
        <v>0</v>
      </c>
      <c r="S197" s="369">
        <f>O197+P197+Q197+R197</f>
        <v>345.216</v>
      </c>
      <c r="T197" s="294"/>
      <c r="U197" s="275"/>
      <c r="V197" s="275"/>
      <c r="W197" s="275"/>
      <c r="X197" s="275"/>
      <c r="Y197" s="275"/>
      <c r="Z197" s="275"/>
      <c r="AA197" s="275"/>
      <c r="AB197" s="323"/>
      <c r="AC197" s="330"/>
      <c r="AD197" s="330"/>
      <c r="AE197" s="330"/>
      <c r="AF197" s="582"/>
      <c r="AG197" s="266"/>
      <c r="AH197" s="266"/>
      <c r="AI197" s="266"/>
      <c r="AJ197" s="266"/>
      <c r="AK197" s="266"/>
      <c r="AL197" s="266"/>
      <c r="AM197" s="266"/>
      <c r="AN197" s="266"/>
      <c r="AO197" s="266"/>
      <c r="AP197" s="266"/>
      <c r="AQ197" s="266"/>
      <c r="AR197" s="266"/>
      <c r="AS197" s="266"/>
    </row>
    <row r="198" spans="1:45" ht="27" customHeight="1">
      <c r="A198" s="281" t="s">
        <v>248</v>
      </c>
      <c r="B198" s="437" t="s">
        <v>261</v>
      </c>
      <c r="C198" s="521" t="s">
        <v>4</v>
      </c>
      <c r="D198" s="552">
        <v>44</v>
      </c>
      <c r="E198" s="382" t="s">
        <v>248</v>
      </c>
      <c r="F198" s="469" t="s">
        <v>484</v>
      </c>
      <c r="G198" s="526" t="s">
        <v>4</v>
      </c>
      <c r="H198" s="495">
        <v>44</v>
      </c>
      <c r="I198" s="320">
        <v>1.5909090909090908</v>
      </c>
      <c r="J198" s="277">
        <v>2.2</v>
      </c>
      <c r="K198" s="276">
        <v>3.5</v>
      </c>
      <c r="L198" s="276">
        <v>2.5</v>
      </c>
      <c r="M198" s="276">
        <v>0.15</v>
      </c>
      <c r="N198" s="300">
        <v>6.15</v>
      </c>
      <c r="O198" s="424">
        <f t="shared" si="44"/>
        <v>70</v>
      </c>
      <c r="P198" s="277">
        <f t="shared" si="45"/>
        <v>154</v>
      </c>
      <c r="Q198" s="277">
        <f t="shared" si="46"/>
        <v>110</v>
      </c>
      <c r="R198" s="277">
        <f t="shared" si="47"/>
        <v>6.6</v>
      </c>
      <c r="S198" s="369">
        <f t="shared" si="48"/>
        <v>270.6</v>
      </c>
      <c r="T198" s="413">
        <v>27.8</v>
      </c>
      <c r="U198" s="275">
        <f>ROUND(T198*K198,2)</f>
        <v>97.3</v>
      </c>
      <c r="V198" s="275">
        <f>ROUND(T198*L198,2)</f>
        <v>69.5</v>
      </c>
      <c r="W198" s="275">
        <f>T198*M198</f>
        <v>4.17</v>
      </c>
      <c r="X198" s="280">
        <f>U198+V198+W198</f>
        <v>170.97</v>
      </c>
      <c r="Y198" s="275">
        <v>14</v>
      </c>
      <c r="Z198" s="275">
        <v>86.1</v>
      </c>
      <c r="AA198" s="275">
        <f t="shared" si="49"/>
        <v>13.53000000000003</v>
      </c>
      <c r="AB198" s="279" t="s">
        <v>440</v>
      </c>
      <c r="AC198" s="330"/>
      <c r="AD198" s="330"/>
      <c r="AE198" s="330"/>
      <c r="AF198" s="582"/>
      <c r="AG198" s="266"/>
      <c r="AH198" s="266"/>
      <c r="AI198" s="266"/>
      <c r="AJ198" s="266"/>
      <c r="AK198" s="266"/>
      <c r="AL198" s="266"/>
      <c r="AM198" s="266"/>
      <c r="AN198" s="266"/>
      <c r="AO198" s="266"/>
      <c r="AP198" s="266"/>
      <c r="AQ198" s="266"/>
      <c r="AR198" s="266"/>
      <c r="AS198" s="266"/>
    </row>
    <row r="199" spans="1:45" ht="15" customHeight="1">
      <c r="A199" s="281" t="s">
        <v>249</v>
      </c>
      <c r="B199" s="437" t="s">
        <v>262</v>
      </c>
      <c r="C199" s="521" t="s">
        <v>8</v>
      </c>
      <c r="D199" s="552">
        <v>4</v>
      </c>
      <c r="E199" s="372" t="s">
        <v>249</v>
      </c>
      <c r="F199" s="437" t="s">
        <v>262</v>
      </c>
      <c r="G199" s="521" t="s">
        <v>8</v>
      </c>
      <c r="H199" s="486">
        <v>4</v>
      </c>
      <c r="I199" s="343"/>
      <c r="J199" s="277"/>
      <c r="K199" s="277">
        <v>6</v>
      </c>
      <c r="L199" s="277"/>
      <c r="M199" s="277">
        <v>0.35</v>
      </c>
      <c r="N199" s="300">
        <v>6.35</v>
      </c>
      <c r="O199" s="424">
        <f t="shared" si="44"/>
        <v>0</v>
      </c>
      <c r="P199" s="277">
        <f t="shared" si="45"/>
        <v>24</v>
      </c>
      <c r="Q199" s="277">
        <f t="shared" si="46"/>
        <v>0</v>
      </c>
      <c r="R199" s="277">
        <f t="shared" si="47"/>
        <v>1.4</v>
      </c>
      <c r="S199" s="369">
        <f t="shared" si="48"/>
        <v>25.4</v>
      </c>
      <c r="T199" s="413">
        <v>0</v>
      </c>
      <c r="U199" s="275">
        <f>ROUND(T199*K199,2)</f>
        <v>0</v>
      </c>
      <c r="V199" s="275">
        <f>ROUND(T199*L199,2)</f>
        <v>0</v>
      </c>
      <c r="W199" s="275">
        <f>T199*M199</f>
        <v>0</v>
      </c>
      <c r="X199" s="280">
        <f>U199+V199+W199</f>
        <v>0</v>
      </c>
      <c r="Y199" s="275">
        <v>4</v>
      </c>
      <c r="Z199" s="275">
        <v>25.4</v>
      </c>
      <c r="AA199" s="275">
        <f t="shared" si="49"/>
        <v>0</v>
      </c>
      <c r="AB199" s="823" t="s">
        <v>441</v>
      </c>
      <c r="AC199" s="330"/>
      <c r="AD199" s="330"/>
      <c r="AE199" s="330"/>
      <c r="AF199" s="582"/>
      <c r="AG199" s="266"/>
      <c r="AH199" s="266"/>
      <c r="AI199" s="266"/>
      <c r="AJ199" s="266"/>
      <c r="AK199" s="266"/>
      <c r="AL199" s="266"/>
      <c r="AM199" s="266"/>
      <c r="AN199" s="266"/>
      <c r="AO199" s="266"/>
      <c r="AP199" s="266"/>
      <c r="AQ199" s="266"/>
      <c r="AR199" s="266"/>
      <c r="AS199" s="266"/>
    </row>
    <row r="200" spans="1:45" ht="15" customHeight="1">
      <c r="A200" s="281"/>
      <c r="B200" s="451" t="s">
        <v>263</v>
      </c>
      <c r="C200" s="521" t="s">
        <v>8</v>
      </c>
      <c r="D200" s="552">
        <v>4</v>
      </c>
      <c r="E200" s="372"/>
      <c r="F200" s="451" t="s">
        <v>263</v>
      </c>
      <c r="G200" s="521" t="s">
        <v>8</v>
      </c>
      <c r="H200" s="486">
        <v>4</v>
      </c>
      <c r="I200" s="343"/>
      <c r="J200" s="277"/>
      <c r="K200" s="277"/>
      <c r="L200" s="277">
        <v>15</v>
      </c>
      <c r="M200" s="277"/>
      <c r="N200" s="300">
        <v>15</v>
      </c>
      <c r="O200" s="424">
        <f t="shared" si="44"/>
        <v>0</v>
      </c>
      <c r="P200" s="277">
        <f t="shared" si="45"/>
        <v>0</v>
      </c>
      <c r="Q200" s="277">
        <f t="shared" si="46"/>
        <v>60</v>
      </c>
      <c r="R200" s="277">
        <f t="shared" si="47"/>
        <v>0</v>
      </c>
      <c r="S200" s="369">
        <f t="shared" si="48"/>
        <v>60</v>
      </c>
      <c r="T200" s="413">
        <v>0</v>
      </c>
      <c r="U200" s="275">
        <f>ROUND(T200*K200,2)</f>
        <v>0</v>
      </c>
      <c r="V200" s="275">
        <f>ROUND(T200*L200,2)</f>
        <v>0</v>
      </c>
      <c r="W200" s="275">
        <f>T200*M200</f>
        <v>0</v>
      </c>
      <c r="X200" s="280">
        <f>U200+V200+W200</f>
        <v>0</v>
      </c>
      <c r="Y200" s="275">
        <v>4</v>
      </c>
      <c r="Z200" s="275">
        <v>60</v>
      </c>
      <c r="AA200" s="275">
        <f t="shared" si="49"/>
        <v>0</v>
      </c>
      <c r="AB200" s="823"/>
      <c r="AC200" s="330"/>
      <c r="AD200" s="330"/>
      <c r="AE200" s="330"/>
      <c r="AF200" s="582"/>
      <c r="AG200" s="266"/>
      <c r="AH200" s="266"/>
      <c r="AI200" s="266"/>
      <c r="AJ200" s="266"/>
      <c r="AK200" s="266"/>
      <c r="AL200" s="266"/>
      <c r="AM200" s="266"/>
      <c r="AN200" s="266"/>
      <c r="AO200" s="266"/>
      <c r="AP200" s="266"/>
      <c r="AQ200" s="266"/>
      <c r="AR200" s="266"/>
      <c r="AS200" s="266"/>
    </row>
    <row r="201" spans="1:45" ht="15" customHeight="1">
      <c r="A201" s="281"/>
      <c r="B201" s="451" t="s">
        <v>152</v>
      </c>
      <c r="C201" s="519" t="s">
        <v>138</v>
      </c>
      <c r="D201" s="553">
        <v>1</v>
      </c>
      <c r="E201" s="385"/>
      <c r="F201" s="451" t="s">
        <v>152</v>
      </c>
      <c r="G201" s="519" t="s">
        <v>138</v>
      </c>
      <c r="H201" s="487">
        <v>1</v>
      </c>
      <c r="I201" s="343"/>
      <c r="J201" s="277"/>
      <c r="K201" s="277"/>
      <c r="L201" s="277">
        <v>20</v>
      </c>
      <c r="M201" s="277"/>
      <c r="N201" s="300">
        <v>20</v>
      </c>
      <c r="O201" s="424">
        <f t="shared" si="44"/>
        <v>0</v>
      </c>
      <c r="P201" s="277">
        <f t="shared" si="45"/>
        <v>0</v>
      </c>
      <c r="Q201" s="277">
        <f t="shared" si="46"/>
        <v>20</v>
      </c>
      <c r="R201" s="277">
        <f t="shared" si="47"/>
        <v>0</v>
      </c>
      <c r="S201" s="369">
        <f t="shared" si="48"/>
        <v>20</v>
      </c>
      <c r="T201" s="413">
        <v>0</v>
      </c>
      <c r="U201" s="275">
        <f>ROUND(T201*K201,2)</f>
        <v>0</v>
      </c>
      <c r="V201" s="275">
        <f>ROUND(T201*L201,2)</f>
        <v>0</v>
      </c>
      <c r="W201" s="275">
        <f>T201*M201</f>
        <v>0</v>
      </c>
      <c r="X201" s="280">
        <f>U201+V201+W201</f>
        <v>0</v>
      </c>
      <c r="Y201" s="275">
        <v>1</v>
      </c>
      <c r="Z201" s="275">
        <v>20</v>
      </c>
      <c r="AA201" s="275">
        <f t="shared" si="49"/>
        <v>0</v>
      </c>
      <c r="AB201" s="824"/>
      <c r="AC201" s="330"/>
      <c r="AD201" s="330"/>
      <c r="AE201" s="330"/>
      <c r="AF201" s="582"/>
      <c r="AG201" s="266"/>
      <c r="AH201" s="266"/>
      <c r="AI201" s="266"/>
      <c r="AJ201" s="266"/>
      <c r="AK201" s="266"/>
      <c r="AL201" s="266"/>
      <c r="AM201" s="266"/>
      <c r="AN201" s="266"/>
      <c r="AO201" s="266"/>
      <c r="AP201" s="266"/>
      <c r="AQ201" s="266"/>
      <c r="AR201" s="266"/>
      <c r="AS201" s="266"/>
    </row>
    <row r="202" spans="1:45" ht="15" customHeight="1">
      <c r="A202" s="281" t="s">
        <v>252</v>
      </c>
      <c r="B202" s="441" t="s">
        <v>247</v>
      </c>
      <c r="C202" s="531" t="s">
        <v>8</v>
      </c>
      <c r="D202" s="553">
        <v>8</v>
      </c>
      <c r="E202" s="370" t="s">
        <v>485</v>
      </c>
      <c r="F202" s="441" t="s">
        <v>247</v>
      </c>
      <c r="G202" s="531" t="s">
        <v>8</v>
      </c>
      <c r="H202" s="489">
        <v>12</v>
      </c>
      <c r="I202" s="320">
        <v>1.3636363636363635</v>
      </c>
      <c r="J202" s="277">
        <v>2.2</v>
      </c>
      <c r="K202" s="276">
        <v>3</v>
      </c>
      <c r="L202" s="276">
        <v>7.5</v>
      </c>
      <c r="M202" s="276">
        <v>1</v>
      </c>
      <c r="N202" s="300">
        <v>11.5</v>
      </c>
      <c r="O202" s="424">
        <f t="shared" si="44"/>
        <v>16.363636363636363</v>
      </c>
      <c r="P202" s="277">
        <f t="shared" si="45"/>
        <v>36</v>
      </c>
      <c r="Q202" s="277">
        <f t="shared" si="46"/>
        <v>90</v>
      </c>
      <c r="R202" s="277">
        <f t="shared" si="47"/>
        <v>12</v>
      </c>
      <c r="S202" s="369">
        <f t="shared" si="48"/>
        <v>138</v>
      </c>
      <c r="T202" s="294">
        <v>8</v>
      </c>
      <c r="U202" s="275"/>
      <c r="V202" s="275">
        <f>ROUND(T202*L202,2)</f>
        <v>60</v>
      </c>
      <c r="W202" s="275"/>
      <c r="X202" s="275"/>
      <c r="Y202" s="275">
        <v>0</v>
      </c>
      <c r="Z202" s="275">
        <v>0</v>
      </c>
      <c r="AA202" s="275">
        <f t="shared" si="49"/>
        <v>138</v>
      </c>
      <c r="AB202" s="296" t="s">
        <v>441</v>
      </c>
      <c r="AC202" s="330"/>
      <c r="AD202" s="330"/>
      <c r="AE202" s="330"/>
      <c r="AF202" s="582"/>
      <c r="AG202" s="266"/>
      <c r="AH202" s="266"/>
      <c r="AI202" s="266"/>
      <c r="AJ202" s="266"/>
      <c r="AK202" s="266"/>
      <c r="AL202" s="266"/>
      <c r="AM202" s="266"/>
      <c r="AN202" s="266"/>
      <c r="AO202" s="266"/>
      <c r="AP202" s="266"/>
      <c r="AQ202" s="266"/>
      <c r="AR202" s="266"/>
      <c r="AS202" s="266"/>
    </row>
    <row r="203" spans="1:45" ht="15" customHeight="1">
      <c r="A203" s="281" t="s">
        <v>253</v>
      </c>
      <c r="B203" s="436" t="s">
        <v>115</v>
      </c>
      <c r="C203" s="518" t="s">
        <v>8</v>
      </c>
      <c r="D203" s="552">
        <v>2</v>
      </c>
      <c r="E203" s="370" t="s">
        <v>253</v>
      </c>
      <c r="F203" s="436" t="s">
        <v>115</v>
      </c>
      <c r="G203" s="518" t="s">
        <v>8</v>
      </c>
      <c r="H203" s="486">
        <v>2</v>
      </c>
      <c r="I203" s="320">
        <v>4.545454545454545</v>
      </c>
      <c r="J203" s="277">
        <v>2.2</v>
      </c>
      <c r="K203" s="276">
        <v>10</v>
      </c>
      <c r="L203" s="276"/>
      <c r="M203" s="276">
        <v>2</v>
      </c>
      <c r="N203" s="300">
        <v>12</v>
      </c>
      <c r="O203" s="424">
        <f t="shared" si="44"/>
        <v>9.09090909090909</v>
      </c>
      <c r="P203" s="277">
        <f t="shared" si="45"/>
        <v>20</v>
      </c>
      <c r="Q203" s="277">
        <f t="shared" si="46"/>
        <v>0</v>
      </c>
      <c r="R203" s="277">
        <f t="shared" si="47"/>
        <v>4</v>
      </c>
      <c r="S203" s="369">
        <f t="shared" si="48"/>
        <v>24</v>
      </c>
      <c r="T203" s="294"/>
      <c r="U203" s="275"/>
      <c r="V203" s="275"/>
      <c r="W203" s="275"/>
      <c r="X203" s="275"/>
      <c r="Y203" s="275">
        <v>0</v>
      </c>
      <c r="Z203" s="275">
        <v>0</v>
      </c>
      <c r="AA203" s="275">
        <f t="shared" si="49"/>
        <v>24</v>
      </c>
      <c r="AB203" s="296" t="s">
        <v>434</v>
      </c>
      <c r="AC203" s="330"/>
      <c r="AD203" s="330"/>
      <c r="AE203" s="330"/>
      <c r="AF203" s="582"/>
      <c r="AG203" s="266"/>
      <c r="AH203" s="266"/>
      <c r="AI203" s="266"/>
      <c r="AJ203" s="266"/>
      <c r="AK203" s="266"/>
      <c r="AL203" s="266"/>
      <c r="AM203" s="266"/>
      <c r="AN203" s="266"/>
      <c r="AO203" s="266"/>
      <c r="AP203" s="266"/>
      <c r="AQ203" s="266"/>
      <c r="AR203" s="266"/>
      <c r="AS203" s="266"/>
    </row>
    <row r="204" spans="1:45" ht="30" customHeight="1">
      <c r="A204" s="282"/>
      <c r="B204" s="451" t="s">
        <v>117</v>
      </c>
      <c r="C204" s="521" t="s">
        <v>8</v>
      </c>
      <c r="D204" s="552">
        <v>2</v>
      </c>
      <c r="E204" s="372"/>
      <c r="F204" s="451" t="s">
        <v>117</v>
      </c>
      <c r="G204" s="521" t="s">
        <v>8</v>
      </c>
      <c r="H204" s="486">
        <v>2</v>
      </c>
      <c r="I204" s="320"/>
      <c r="J204" s="276"/>
      <c r="K204" s="276"/>
      <c r="L204" s="276">
        <v>120</v>
      </c>
      <c r="M204" s="276"/>
      <c r="N204" s="300">
        <v>120</v>
      </c>
      <c r="O204" s="424">
        <f t="shared" si="44"/>
        <v>0</v>
      </c>
      <c r="P204" s="277">
        <f t="shared" si="45"/>
        <v>0</v>
      </c>
      <c r="Q204" s="277">
        <f t="shared" si="46"/>
        <v>240</v>
      </c>
      <c r="R204" s="277">
        <f t="shared" si="47"/>
        <v>0</v>
      </c>
      <c r="S204" s="369">
        <f t="shared" si="48"/>
        <v>240</v>
      </c>
      <c r="T204" s="294"/>
      <c r="U204" s="275"/>
      <c r="V204" s="275"/>
      <c r="W204" s="275"/>
      <c r="X204" s="275"/>
      <c r="Y204" s="275">
        <v>2</v>
      </c>
      <c r="Z204" s="275">
        <v>240</v>
      </c>
      <c r="AA204" s="275">
        <f t="shared" si="49"/>
        <v>0</v>
      </c>
      <c r="AB204" s="278"/>
      <c r="AC204" s="330"/>
      <c r="AD204" s="330"/>
      <c r="AE204" s="330"/>
      <c r="AF204" s="582"/>
      <c r="AG204" s="266"/>
      <c r="AH204" s="266"/>
      <c r="AI204" s="266"/>
      <c r="AJ204" s="266"/>
      <c r="AK204" s="266"/>
      <c r="AL204" s="266"/>
      <c r="AM204" s="266"/>
      <c r="AN204" s="266"/>
      <c r="AO204" s="266"/>
      <c r="AP204" s="266"/>
      <c r="AQ204" s="266"/>
      <c r="AR204" s="266"/>
      <c r="AS204" s="266"/>
    </row>
    <row r="205" spans="1:45" ht="15" customHeight="1">
      <c r="A205" s="282" t="s">
        <v>257</v>
      </c>
      <c r="B205" s="446" t="s">
        <v>250</v>
      </c>
      <c r="C205" s="521" t="s">
        <v>251</v>
      </c>
      <c r="D205" s="552">
        <v>37</v>
      </c>
      <c r="E205" s="375" t="s">
        <v>257</v>
      </c>
      <c r="F205" s="446" t="s">
        <v>250</v>
      </c>
      <c r="G205" s="521" t="s">
        <v>251</v>
      </c>
      <c r="H205" s="486">
        <v>37</v>
      </c>
      <c r="I205" s="320">
        <v>0.9090909090909091</v>
      </c>
      <c r="J205" s="277">
        <v>2.2</v>
      </c>
      <c r="K205" s="277">
        <v>2</v>
      </c>
      <c r="L205" s="277"/>
      <c r="M205" s="277">
        <v>0.2</v>
      </c>
      <c r="N205" s="300">
        <v>2.2</v>
      </c>
      <c r="O205" s="424">
        <f t="shared" si="44"/>
        <v>33.63636363636363</v>
      </c>
      <c r="P205" s="277">
        <f t="shared" si="45"/>
        <v>74</v>
      </c>
      <c r="Q205" s="277">
        <f t="shared" si="46"/>
        <v>0</v>
      </c>
      <c r="R205" s="277">
        <f t="shared" si="47"/>
        <v>7.4</v>
      </c>
      <c r="S205" s="369">
        <f t="shared" si="48"/>
        <v>81.4</v>
      </c>
      <c r="T205" s="294">
        <v>35.15</v>
      </c>
      <c r="U205" s="275">
        <f>ROUND(T205*K205,2)</f>
        <v>70.3</v>
      </c>
      <c r="V205" s="275">
        <f>ROUND(T205*L205,2)</f>
        <v>0</v>
      </c>
      <c r="W205" s="275">
        <f>T205*M205</f>
        <v>7.03</v>
      </c>
      <c r="X205" s="280">
        <f>U205+V205+W205</f>
        <v>77.33</v>
      </c>
      <c r="Y205" s="275">
        <v>0</v>
      </c>
      <c r="Z205" s="275">
        <v>0</v>
      </c>
      <c r="AA205" s="275">
        <f>S205-Z205-X205</f>
        <v>4.070000000000007</v>
      </c>
      <c r="AB205" s="296" t="s">
        <v>433</v>
      </c>
      <c r="AC205" s="330"/>
      <c r="AD205" s="330"/>
      <c r="AE205" s="330"/>
      <c r="AF205" s="582"/>
      <c r="AG205" s="266"/>
      <c r="AH205" s="266"/>
      <c r="AI205" s="266"/>
      <c r="AJ205" s="266"/>
      <c r="AK205" s="266"/>
      <c r="AL205" s="266"/>
      <c r="AM205" s="266"/>
      <c r="AN205" s="266"/>
      <c r="AO205" s="266"/>
      <c r="AP205" s="266"/>
      <c r="AQ205" s="266"/>
      <c r="AR205" s="266"/>
      <c r="AS205" s="266"/>
    </row>
    <row r="206" spans="1:45" ht="15" customHeight="1">
      <c r="A206" s="281" t="s">
        <v>258</v>
      </c>
      <c r="B206" s="341" t="s">
        <v>298</v>
      </c>
      <c r="C206" s="519" t="s">
        <v>3</v>
      </c>
      <c r="D206" s="553">
        <v>116</v>
      </c>
      <c r="E206" s="370" t="s">
        <v>258</v>
      </c>
      <c r="F206" s="341" t="s">
        <v>298</v>
      </c>
      <c r="G206" s="519" t="s">
        <v>3</v>
      </c>
      <c r="H206" s="487">
        <v>116</v>
      </c>
      <c r="I206" s="320">
        <v>1.4545454545454546</v>
      </c>
      <c r="J206" s="277">
        <v>2.2</v>
      </c>
      <c r="K206" s="276">
        <v>3.2</v>
      </c>
      <c r="L206" s="276">
        <v>6.5</v>
      </c>
      <c r="M206" s="276">
        <v>0.2</v>
      </c>
      <c r="N206" s="300">
        <v>9.9</v>
      </c>
      <c r="O206" s="424">
        <f t="shared" si="44"/>
        <v>168.72727272727272</v>
      </c>
      <c r="P206" s="277">
        <f t="shared" si="45"/>
        <v>371.20000000000005</v>
      </c>
      <c r="Q206" s="277">
        <f t="shared" si="46"/>
        <v>754</v>
      </c>
      <c r="R206" s="277">
        <f t="shared" si="47"/>
        <v>23.200000000000003</v>
      </c>
      <c r="S206" s="369">
        <f t="shared" si="48"/>
        <v>1148.4</v>
      </c>
      <c r="T206" s="294"/>
      <c r="U206" s="275"/>
      <c r="V206" s="275"/>
      <c r="W206" s="275"/>
      <c r="X206" s="275"/>
      <c r="Y206" s="275">
        <v>116</v>
      </c>
      <c r="Z206" s="275">
        <v>1148.4</v>
      </c>
      <c r="AA206" s="275">
        <f>S206-Z206-X206</f>
        <v>0</v>
      </c>
      <c r="AB206" s="278"/>
      <c r="AC206" s="330"/>
      <c r="AD206" s="330"/>
      <c r="AE206" s="330"/>
      <c r="AF206" s="582"/>
      <c r="AG206" s="266"/>
      <c r="AH206" s="266"/>
      <c r="AI206" s="266"/>
      <c r="AJ206" s="266"/>
      <c r="AK206" s="266"/>
      <c r="AL206" s="266"/>
      <c r="AM206" s="266"/>
      <c r="AN206" s="266"/>
      <c r="AO206" s="266"/>
      <c r="AP206" s="266"/>
      <c r="AQ206" s="266"/>
      <c r="AR206" s="266"/>
      <c r="AS206" s="266"/>
    </row>
    <row r="207" spans="1:45" ht="15" customHeight="1" thickBot="1">
      <c r="A207" s="284" t="s">
        <v>259</v>
      </c>
      <c r="B207" s="470" t="s">
        <v>254</v>
      </c>
      <c r="C207" s="527" t="s">
        <v>138</v>
      </c>
      <c r="D207" s="554">
        <v>1</v>
      </c>
      <c r="E207" s="380" t="s">
        <v>259</v>
      </c>
      <c r="F207" s="470" t="s">
        <v>254</v>
      </c>
      <c r="G207" s="527" t="s">
        <v>138</v>
      </c>
      <c r="H207" s="496">
        <v>1</v>
      </c>
      <c r="I207" s="320">
        <v>54.54545454545454</v>
      </c>
      <c r="J207" s="277">
        <v>2.2</v>
      </c>
      <c r="K207" s="276">
        <v>120</v>
      </c>
      <c r="L207" s="276">
        <v>185</v>
      </c>
      <c r="M207" s="276">
        <v>20</v>
      </c>
      <c r="N207" s="300">
        <v>325</v>
      </c>
      <c r="O207" s="424">
        <f t="shared" si="44"/>
        <v>54.54545454545454</v>
      </c>
      <c r="P207" s="277">
        <f t="shared" si="45"/>
        <v>120</v>
      </c>
      <c r="Q207" s="277">
        <f t="shared" si="46"/>
        <v>185</v>
      </c>
      <c r="R207" s="277">
        <f t="shared" si="47"/>
        <v>20</v>
      </c>
      <c r="S207" s="369">
        <f t="shared" si="48"/>
        <v>325</v>
      </c>
      <c r="T207" s="358"/>
      <c r="U207" s="285"/>
      <c r="V207" s="285"/>
      <c r="W207" s="285"/>
      <c r="X207" s="285"/>
      <c r="Y207" s="285">
        <v>0</v>
      </c>
      <c r="Z207" s="285">
        <v>0</v>
      </c>
      <c r="AA207" s="285">
        <f>S207-Z207-X207</f>
        <v>325</v>
      </c>
      <c r="AB207" s="296" t="s">
        <v>442</v>
      </c>
      <c r="AC207" s="330"/>
      <c r="AD207" s="330"/>
      <c r="AE207" s="330"/>
      <c r="AF207" s="582"/>
      <c r="AG207" s="266"/>
      <c r="AH207" s="266"/>
      <c r="AI207" s="266"/>
      <c r="AJ207" s="266"/>
      <c r="AK207" s="266"/>
      <c r="AL207" s="266"/>
      <c r="AM207" s="266"/>
      <c r="AN207" s="266"/>
      <c r="AO207" s="266"/>
      <c r="AP207" s="266"/>
      <c r="AQ207" s="266"/>
      <c r="AR207" s="266"/>
      <c r="AS207" s="266"/>
    </row>
    <row r="208" spans="1:45" ht="15" customHeight="1" thickBot="1">
      <c r="A208" s="324"/>
      <c r="B208" s="546" t="s">
        <v>37</v>
      </c>
      <c r="C208" s="533"/>
      <c r="D208" s="563"/>
      <c r="E208" s="386"/>
      <c r="F208" s="354"/>
      <c r="G208" s="533"/>
      <c r="H208" s="505"/>
      <c r="I208" s="361"/>
      <c r="J208" s="310"/>
      <c r="K208" s="310"/>
      <c r="L208" s="310"/>
      <c r="M208" s="310"/>
      <c r="N208" s="404"/>
      <c r="O208" s="426">
        <f>SUM(O159:O207)</f>
        <v>2657.4363636363632</v>
      </c>
      <c r="P208" s="310">
        <f>SUM(P159:P207)</f>
        <v>5870.36</v>
      </c>
      <c r="Q208" s="310">
        <f>SUM(Q159:Q207)</f>
        <v>12156.797500000002</v>
      </c>
      <c r="R208" s="310">
        <f>SUM(R159:R207)</f>
        <v>924.69</v>
      </c>
      <c r="S208" s="427">
        <f>SUM(S159:S207)</f>
        <v>18951.847500000007</v>
      </c>
      <c r="T208" s="361">
        <f aca="true" t="shared" si="50" ref="T208:AB208">SUM(T159:T207)</f>
        <v>225.34</v>
      </c>
      <c r="U208" s="310">
        <f t="shared" si="50"/>
        <v>195.26</v>
      </c>
      <c r="V208" s="310">
        <f t="shared" si="50"/>
        <v>129.5</v>
      </c>
      <c r="W208" s="310">
        <f t="shared" si="50"/>
        <v>14.796</v>
      </c>
      <c r="X208" s="310">
        <f t="shared" si="50"/>
        <v>279.556</v>
      </c>
      <c r="Y208" s="310">
        <f t="shared" si="50"/>
        <v>16853.850242423992</v>
      </c>
      <c r="Z208" s="310">
        <f t="shared" si="50"/>
        <v>17037.72</v>
      </c>
      <c r="AA208" s="310">
        <f t="shared" si="50"/>
        <v>974.3555000000005</v>
      </c>
      <c r="AB208" s="311">
        <f t="shared" si="50"/>
        <v>0</v>
      </c>
      <c r="AC208" s="586"/>
      <c r="AD208" s="586"/>
      <c r="AE208" s="330"/>
      <c r="AF208" s="582"/>
      <c r="AG208" s="266"/>
      <c r="AH208" s="266"/>
      <c r="AI208" s="266"/>
      <c r="AJ208" s="266"/>
      <c r="AK208" s="266"/>
      <c r="AL208" s="266"/>
      <c r="AM208" s="266"/>
      <c r="AN208" s="266"/>
      <c r="AO208" s="266"/>
      <c r="AP208" s="266"/>
      <c r="AQ208" s="266"/>
      <c r="AR208" s="266"/>
      <c r="AS208" s="266"/>
    </row>
    <row r="209" spans="1:45" ht="36.75" customHeight="1">
      <c r="A209" s="318" t="s">
        <v>70</v>
      </c>
      <c r="B209" s="471" t="s">
        <v>154</v>
      </c>
      <c r="C209" s="534" t="s">
        <v>4</v>
      </c>
      <c r="D209" s="564">
        <v>598</v>
      </c>
      <c r="E209" s="388" t="s">
        <v>70</v>
      </c>
      <c r="F209" s="471" t="s">
        <v>154</v>
      </c>
      <c r="G209" s="534" t="s">
        <v>4</v>
      </c>
      <c r="H209" s="506">
        <v>0</v>
      </c>
      <c r="I209" s="362"/>
      <c r="J209" s="314"/>
      <c r="K209" s="314"/>
      <c r="L209" s="314"/>
      <c r="M209" s="314"/>
      <c r="N209" s="303"/>
      <c r="O209" s="428"/>
      <c r="P209" s="314"/>
      <c r="Q209" s="314"/>
      <c r="R209" s="314"/>
      <c r="S209" s="391"/>
      <c r="T209" s="316"/>
      <c r="U209" s="289"/>
      <c r="V209" s="289"/>
      <c r="W209" s="289"/>
      <c r="X209" s="289"/>
      <c r="Y209" s="289"/>
      <c r="Z209" s="289"/>
      <c r="AA209" s="289"/>
      <c r="AB209" s="813" t="s">
        <v>443</v>
      </c>
      <c r="AC209" s="581"/>
      <c r="AD209" s="581"/>
      <c r="AE209" s="581"/>
      <c r="AF209" s="582"/>
      <c r="AG209" s="266"/>
      <c r="AH209" s="266"/>
      <c r="AI209" s="266"/>
      <c r="AJ209" s="266"/>
      <c r="AK209" s="266"/>
      <c r="AL209" s="266"/>
      <c r="AM209" s="266"/>
      <c r="AN209" s="266"/>
      <c r="AO209" s="266"/>
      <c r="AP209" s="266"/>
      <c r="AQ209" s="266"/>
      <c r="AR209" s="266"/>
      <c r="AS209" s="266"/>
    </row>
    <row r="210" spans="1:45" ht="15" customHeight="1">
      <c r="A210" s="281" t="s">
        <v>71</v>
      </c>
      <c r="B210" s="442" t="s">
        <v>118</v>
      </c>
      <c r="C210" s="521" t="s">
        <v>7</v>
      </c>
      <c r="D210" s="561">
        <v>598</v>
      </c>
      <c r="E210" s="370" t="s">
        <v>71</v>
      </c>
      <c r="F210" s="442" t="s">
        <v>118</v>
      </c>
      <c r="G210" s="521" t="s">
        <v>7</v>
      </c>
      <c r="H210" s="507">
        <v>0</v>
      </c>
      <c r="I210" s="320">
        <v>0.2954545454545454</v>
      </c>
      <c r="J210" s="277">
        <v>2.2</v>
      </c>
      <c r="K210" s="277">
        <v>0.65</v>
      </c>
      <c r="L210" s="277"/>
      <c r="M210" s="277">
        <v>0.2</v>
      </c>
      <c r="N210" s="300">
        <v>0.85</v>
      </c>
      <c r="O210" s="424">
        <f aca="true" t="shared" si="51" ref="O210:O228">H210*I210</f>
        <v>0</v>
      </c>
      <c r="P210" s="277">
        <f aca="true" t="shared" si="52" ref="P210:P228">H210*K210</f>
        <v>0</v>
      </c>
      <c r="Q210" s="277">
        <f aca="true" t="shared" si="53" ref="Q210:Q228">H210*L210</f>
        <v>0</v>
      </c>
      <c r="R210" s="277">
        <f aca="true" t="shared" si="54" ref="R210:R228">H210*M210</f>
        <v>0</v>
      </c>
      <c r="S210" s="369">
        <f aca="true" t="shared" si="55" ref="S210:S228">P210+Q210+R210</f>
        <v>0</v>
      </c>
      <c r="T210" s="294"/>
      <c r="U210" s="275"/>
      <c r="V210" s="275"/>
      <c r="W210" s="275"/>
      <c r="X210" s="275"/>
      <c r="Y210" s="275">
        <v>0</v>
      </c>
      <c r="Z210" s="275">
        <v>0</v>
      </c>
      <c r="AA210" s="275">
        <f>S210-X210-Z210</f>
        <v>0</v>
      </c>
      <c r="AB210" s="814"/>
      <c r="AC210" s="581"/>
      <c r="AD210" s="581"/>
      <c r="AE210" s="581"/>
      <c r="AF210" s="582"/>
      <c r="AG210" s="266"/>
      <c r="AH210" s="266"/>
      <c r="AI210" s="266"/>
      <c r="AJ210" s="266"/>
      <c r="AK210" s="266"/>
      <c r="AL210" s="266"/>
      <c r="AM210" s="266"/>
      <c r="AN210" s="266"/>
      <c r="AO210" s="266"/>
      <c r="AP210" s="266"/>
      <c r="AQ210" s="266"/>
      <c r="AR210" s="266"/>
      <c r="AS210" s="266"/>
    </row>
    <row r="211" spans="1:45" ht="36" customHeight="1">
      <c r="A211" s="281" t="s">
        <v>72</v>
      </c>
      <c r="B211" s="437" t="s">
        <v>313</v>
      </c>
      <c r="C211" s="521" t="s">
        <v>4</v>
      </c>
      <c r="D211" s="565">
        <v>598</v>
      </c>
      <c r="E211" s="370" t="s">
        <v>72</v>
      </c>
      <c r="F211" s="437" t="s">
        <v>313</v>
      </c>
      <c r="G211" s="521" t="s">
        <v>4</v>
      </c>
      <c r="H211" s="508">
        <v>0</v>
      </c>
      <c r="I211" s="320">
        <v>0.47727272727272724</v>
      </c>
      <c r="J211" s="277">
        <v>2.2</v>
      </c>
      <c r="K211" s="276">
        <v>1.05</v>
      </c>
      <c r="L211" s="276">
        <v>2.5</v>
      </c>
      <c r="M211" s="276">
        <v>0.05</v>
      </c>
      <c r="N211" s="300">
        <v>3.6</v>
      </c>
      <c r="O211" s="424">
        <f t="shared" si="51"/>
        <v>0</v>
      </c>
      <c r="P211" s="277">
        <f t="shared" si="52"/>
        <v>0</v>
      </c>
      <c r="Q211" s="277">
        <f t="shared" si="53"/>
        <v>0</v>
      </c>
      <c r="R211" s="277">
        <f t="shared" si="54"/>
        <v>0</v>
      </c>
      <c r="S211" s="369">
        <f t="shared" si="55"/>
        <v>0</v>
      </c>
      <c r="T211" s="294"/>
      <c r="U211" s="275">
        <v>0</v>
      </c>
      <c r="V211" s="275">
        <v>0</v>
      </c>
      <c r="W211" s="275">
        <v>0</v>
      </c>
      <c r="X211" s="275">
        <v>0</v>
      </c>
      <c r="Y211" s="275">
        <v>0</v>
      </c>
      <c r="Z211" s="275">
        <v>0</v>
      </c>
      <c r="AA211" s="275">
        <f aca="true" t="shared" si="56" ref="AA211:AA228">S211-X211-Z211</f>
        <v>0</v>
      </c>
      <c r="AB211" s="814"/>
      <c r="AC211" s="581"/>
      <c r="AD211" s="581"/>
      <c r="AE211" s="581"/>
      <c r="AF211" s="582"/>
      <c r="AG211" s="266"/>
      <c r="AH211" s="266"/>
      <c r="AI211" s="266"/>
      <c r="AJ211" s="266"/>
      <c r="AK211" s="266"/>
      <c r="AL211" s="266"/>
      <c r="AM211" s="266"/>
      <c r="AN211" s="266"/>
      <c r="AO211" s="266"/>
      <c r="AP211" s="266"/>
      <c r="AQ211" s="266"/>
      <c r="AR211" s="266"/>
      <c r="AS211" s="266"/>
    </row>
    <row r="212" spans="1:45" ht="15" customHeight="1">
      <c r="A212" s="281" t="s">
        <v>73</v>
      </c>
      <c r="B212" s="442" t="s">
        <v>119</v>
      </c>
      <c r="C212" s="521" t="s">
        <v>120</v>
      </c>
      <c r="D212" s="552">
        <v>598</v>
      </c>
      <c r="E212" s="370" t="s">
        <v>73</v>
      </c>
      <c r="F212" s="442" t="s">
        <v>119</v>
      </c>
      <c r="G212" s="521" t="s">
        <v>120</v>
      </c>
      <c r="H212" s="490">
        <v>0</v>
      </c>
      <c r="I212" s="343"/>
      <c r="J212" s="277"/>
      <c r="K212" s="277">
        <v>0.5</v>
      </c>
      <c r="L212" s="277"/>
      <c r="M212" s="277">
        <v>0.1</v>
      </c>
      <c r="N212" s="300">
        <v>0.6</v>
      </c>
      <c r="O212" s="424">
        <f t="shared" si="51"/>
        <v>0</v>
      </c>
      <c r="P212" s="277">
        <f t="shared" si="52"/>
        <v>0</v>
      </c>
      <c r="Q212" s="277">
        <f t="shared" si="53"/>
        <v>0</v>
      </c>
      <c r="R212" s="277">
        <f t="shared" si="54"/>
        <v>0</v>
      </c>
      <c r="S212" s="369">
        <f t="shared" si="55"/>
        <v>0</v>
      </c>
      <c r="T212" s="294"/>
      <c r="U212" s="275">
        <v>0</v>
      </c>
      <c r="V212" s="275">
        <v>0</v>
      </c>
      <c r="W212" s="275">
        <v>0</v>
      </c>
      <c r="X212" s="275">
        <v>0</v>
      </c>
      <c r="Y212" s="275">
        <v>0</v>
      </c>
      <c r="Z212" s="275">
        <v>0</v>
      </c>
      <c r="AA212" s="275">
        <f t="shared" si="56"/>
        <v>0</v>
      </c>
      <c r="AB212" s="814"/>
      <c r="AC212" s="581"/>
      <c r="AD212" s="581"/>
      <c r="AE212" s="581"/>
      <c r="AF212" s="582"/>
      <c r="AG212" s="266"/>
      <c r="AH212" s="266"/>
      <c r="AI212" s="266"/>
      <c r="AJ212" s="266"/>
      <c r="AK212" s="266"/>
      <c r="AL212" s="266"/>
      <c r="AM212" s="266"/>
      <c r="AN212" s="266"/>
      <c r="AO212" s="266"/>
      <c r="AP212" s="266"/>
      <c r="AQ212" s="266"/>
      <c r="AR212" s="266"/>
      <c r="AS212" s="266"/>
    </row>
    <row r="213" spans="1:45" ht="15" customHeight="1">
      <c r="A213" s="281"/>
      <c r="B213" s="451" t="s">
        <v>121</v>
      </c>
      <c r="C213" s="521" t="s">
        <v>18</v>
      </c>
      <c r="D213" s="552">
        <v>179.4</v>
      </c>
      <c r="E213" s="370"/>
      <c r="F213" s="451" t="s">
        <v>121</v>
      </c>
      <c r="G213" s="521" t="s">
        <v>18</v>
      </c>
      <c r="H213" s="490">
        <v>0</v>
      </c>
      <c r="I213" s="343"/>
      <c r="J213" s="277"/>
      <c r="K213" s="277"/>
      <c r="L213" s="277">
        <v>0.69</v>
      </c>
      <c r="M213" s="277"/>
      <c r="N213" s="300">
        <v>0.69</v>
      </c>
      <c r="O213" s="424">
        <f t="shared" si="51"/>
        <v>0</v>
      </c>
      <c r="P213" s="277">
        <f t="shared" si="52"/>
        <v>0</v>
      </c>
      <c r="Q213" s="277">
        <f t="shared" si="53"/>
        <v>0</v>
      </c>
      <c r="R213" s="277">
        <f t="shared" si="54"/>
        <v>0</v>
      </c>
      <c r="S213" s="369">
        <f t="shared" si="55"/>
        <v>0</v>
      </c>
      <c r="T213" s="294"/>
      <c r="U213" s="275">
        <v>0</v>
      </c>
      <c r="V213" s="275">
        <v>0</v>
      </c>
      <c r="W213" s="275">
        <v>0</v>
      </c>
      <c r="X213" s="275">
        <v>0</v>
      </c>
      <c r="Y213" s="275">
        <v>0</v>
      </c>
      <c r="Z213" s="275">
        <v>0</v>
      </c>
      <c r="AA213" s="275">
        <f t="shared" si="56"/>
        <v>0</v>
      </c>
      <c r="AB213" s="814"/>
      <c r="AC213" s="581"/>
      <c r="AD213" s="581"/>
      <c r="AE213" s="581"/>
      <c r="AF213" s="582"/>
      <c r="AG213" s="266"/>
      <c r="AH213" s="266"/>
      <c r="AI213" s="266"/>
      <c r="AJ213" s="266"/>
      <c r="AK213" s="266"/>
      <c r="AL213" s="266"/>
      <c r="AM213" s="266"/>
      <c r="AN213" s="266"/>
      <c r="AO213" s="266"/>
      <c r="AP213" s="266"/>
      <c r="AQ213" s="266"/>
      <c r="AR213" s="266"/>
      <c r="AS213" s="266"/>
    </row>
    <row r="214" spans="1:45" ht="26.25" customHeight="1">
      <c r="A214" s="281" t="s">
        <v>75</v>
      </c>
      <c r="B214" s="442" t="s">
        <v>130</v>
      </c>
      <c r="C214" s="521" t="s">
        <v>120</v>
      </c>
      <c r="D214" s="552">
        <v>598</v>
      </c>
      <c r="E214" s="370" t="s">
        <v>75</v>
      </c>
      <c r="F214" s="442" t="s">
        <v>130</v>
      </c>
      <c r="G214" s="521" t="s">
        <v>120</v>
      </c>
      <c r="H214" s="490">
        <v>0</v>
      </c>
      <c r="I214" s="320">
        <v>1.1363636363636362</v>
      </c>
      <c r="J214" s="277">
        <v>2.2</v>
      </c>
      <c r="K214" s="276">
        <v>2.5</v>
      </c>
      <c r="L214" s="276"/>
      <c r="M214" s="276">
        <v>0.1</v>
      </c>
      <c r="N214" s="300">
        <v>2.6</v>
      </c>
      <c r="O214" s="424">
        <f t="shared" si="51"/>
        <v>0</v>
      </c>
      <c r="P214" s="277">
        <f t="shared" si="52"/>
        <v>0</v>
      </c>
      <c r="Q214" s="277">
        <f t="shared" si="53"/>
        <v>0</v>
      </c>
      <c r="R214" s="277">
        <f t="shared" si="54"/>
        <v>0</v>
      </c>
      <c r="S214" s="369">
        <f t="shared" si="55"/>
        <v>0</v>
      </c>
      <c r="T214" s="294"/>
      <c r="U214" s="275">
        <v>0</v>
      </c>
      <c r="V214" s="275">
        <v>0</v>
      </c>
      <c r="W214" s="275">
        <v>0</v>
      </c>
      <c r="X214" s="275">
        <v>0</v>
      </c>
      <c r="Y214" s="275">
        <v>0</v>
      </c>
      <c r="Z214" s="275">
        <v>0</v>
      </c>
      <c r="AA214" s="275">
        <f t="shared" si="56"/>
        <v>0</v>
      </c>
      <c r="AB214" s="814"/>
      <c r="AC214" s="581"/>
      <c r="AD214" s="581"/>
      <c r="AE214" s="581"/>
      <c r="AF214" s="582"/>
      <c r="AG214" s="266"/>
      <c r="AH214" s="266"/>
      <c r="AI214" s="266"/>
      <c r="AJ214" s="266"/>
      <c r="AK214" s="266"/>
      <c r="AL214" s="266"/>
      <c r="AM214" s="266"/>
      <c r="AN214" s="266"/>
      <c r="AO214" s="266"/>
      <c r="AP214" s="266"/>
      <c r="AQ214" s="266"/>
      <c r="AR214" s="266"/>
      <c r="AS214" s="266"/>
    </row>
    <row r="215" spans="1:45" ht="15" customHeight="1">
      <c r="A215" s="281"/>
      <c r="B215" s="451" t="s">
        <v>129</v>
      </c>
      <c r="C215" s="521" t="s">
        <v>120</v>
      </c>
      <c r="D215" s="552">
        <v>657.8</v>
      </c>
      <c r="E215" s="370"/>
      <c r="F215" s="451" t="s">
        <v>129</v>
      </c>
      <c r="G215" s="521" t="s">
        <v>120</v>
      </c>
      <c r="H215" s="490">
        <v>0</v>
      </c>
      <c r="I215" s="343"/>
      <c r="J215" s="277"/>
      <c r="K215" s="277"/>
      <c r="L215" s="277">
        <v>3.55</v>
      </c>
      <c r="M215" s="277"/>
      <c r="N215" s="300">
        <v>3.55</v>
      </c>
      <c r="O215" s="424">
        <f t="shared" si="51"/>
        <v>0</v>
      </c>
      <c r="P215" s="277">
        <f t="shared" si="52"/>
        <v>0</v>
      </c>
      <c r="Q215" s="277">
        <f t="shared" si="53"/>
        <v>0</v>
      </c>
      <c r="R215" s="277">
        <f t="shared" si="54"/>
        <v>0</v>
      </c>
      <c r="S215" s="369">
        <f t="shared" si="55"/>
        <v>0</v>
      </c>
      <c r="T215" s="294"/>
      <c r="U215" s="275">
        <v>0</v>
      </c>
      <c r="V215" s="275">
        <v>0</v>
      </c>
      <c r="W215" s="275">
        <v>0</v>
      </c>
      <c r="X215" s="275">
        <v>0</v>
      </c>
      <c r="Y215" s="275">
        <v>0</v>
      </c>
      <c r="Z215" s="275">
        <v>0</v>
      </c>
      <c r="AA215" s="275">
        <f t="shared" si="56"/>
        <v>0</v>
      </c>
      <c r="AB215" s="814"/>
      <c r="AC215" s="581"/>
      <c r="AD215" s="581"/>
      <c r="AE215" s="581"/>
      <c r="AF215" s="582"/>
      <c r="AG215" s="266"/>
      <c r="AH215" s="266"/>
      <c r="AI215" s="266"/>
      <c r="AJ215" s="266"/>
      <c r="AK215" s="266"/>
      <c r="AL215" s="266"/>
      <c r="AM215" s="266"/>
      <c r="AN215" s="266"/>
      <c r="AO215" s="266"/>
      <c r="AP215" s="266"/>
      <c r="AQ215" s="266"/>
      <c r="AR215" s="266"/>
      <c r="AS215" s="266"/>
    </row>
    <row r="216" spans="1:45" ht="15" customHeight="1">
      <c r="A216" s="281"/>
      <c r="B216" s="451" t="s">
        <v>122</v>
      </c>
      <c r="C216" s="521" t="s">
        <v>18</v>
      </c>
      <c r="D216" s="552">
        <v>2392</v>
      </c>
      <c r="E216" s="370"/>
      <c r="F216" s="451" t="s">
        <v>122</v>
      </c>
      <c r="G216" s="521" t="s">
        <v>18</v>
      </c>
      <c r="H216" s="490">
        <v>0</v>
      </c>
      <c r="I216" s="343"/>
      <c r="J216" s="277"/>
      <c r="K216" s="277"/>
      <c r="L216" s="277">
        <v>0.11</v>
      </c>
      <c r="M216" s="277"/>
      <c r="N216" s="300">
        <v>0.11</v>
      </c>
      <c r="O216" s="424">
        <f t="shared" si="51"/>
        <v>0</v>
      </c>
      <c r="P216" s="277">
        <f t="shared" si="52"/>
        <v>0</v>
      </c>
      <c r="Q216" s="277">
        <f t="shared" si="53"/>
        <v>0</v>
      </c>
      <c r="R216" s="277">
        <f t="shared" si="54"/>
        <v>0</v>
      </c>
      <c r="S216" s="369">
        <f t="shared" si="55"/>
        <v>0</v>
      </c>
      <c r="T216" s="294"/>
      <c r="U216" s="275">
        <v>0</v>
      </c>
      <c r="V216" s="275">
        <v>0</v>
      </c>
      <c r="W216" s="275">
        <v>0</v>
      </c>
      <c r="X216" s="275">
        <v>0</v>
      </c>
      <c r="Y216" s="275">
        <v>0</v>
      </c>
      <c r="Z216" s="275">
        <v>0</v>
      </c>
      <c r="AA216" s="275">
        <f t="shared" si="56"/>
        <v>0</v>
      </c>
      <c r="AB216" s="814"/>
      <c r="AC216" s="581"/>
      <c r="AD216" s="581"/>
      <c r="AE216" s="581"/>
      <c r="AF216" s="582"/>
      <c r="AG216" s="266"/>
      <c r="AH216" s="266"/>
      <c r="AI216" s="266"/>
      <c r="AJ216" s="266"/>
      <c r="AK216" s="266"/>
      <c r="AL216" s="266"/>
      <c r="AM216" s="266"/>
      <c r="AN216" s="266"/>
      <c r="AO216" s="266"/>
      <c r="AP216" s="266"/>
      <c r="AQ216" s="266"/>
      <c r="AR216" s="266"/>
      <c r="AS216" s="266"/>
    </row>
    <row r="217" spans="1:45" ht="15" customHeight="1">
      <c r="A217" s="281"/>
      <c r="B217" s="451" t="s">
        <v>123</v>
      </c>
      <c r="C217" s="521" t="s">
        <v>8</v>
      </c>
      <c r="D217" s="552">
        <v>2392</v>
      </c>
      <c r="E217" s="370"/>
      <c r="F217" s="451" t="s">
        <v>123</v>
      </c>
      <c r="G217" s="521" t="s">
        <v>8</v>
      </c>
      <c r="H217" s="490">
        <v>0</v>
      </c>
      <c r="I217" s="343"/>
      <c r="J217" s="277"/>
      <c r="K217" s="277"/>
      <c r="L217" s="277">
        <v>0.1</v>
      </c>
      <c r="M217" s="277"/>
      <c r="N217" s="300">
        <v>0.1</v>
      </c>
      <c r="O217" s="424">
        <f t="shared" si="51"/>
        <v>0</v>
      </c>
      <c r="P217" s="277">
        <f t="shared" si="52"/>
        <v>0</v>
      </c>
      <c r="Q217" s="277">
        <f t="shared" si="53"/>
        <v>0</v>
      </c>
      <c r="R217" s="277">
        <f t="shared" si="54"/>
        <v>0</v>
      </c>
      <c r="S217" s="369">
        <f t="shared" si="55"/>
        <v>0</v>
      </c>
      <c r="T217" s="294"/>
      <c r="U217" s="275">
        <v>0</v>
      </c>
      <c r="V217" s="275">
        <v>0</v>
      </c>
      <c r="W217" s="275">
        <v>0</v>
      </c>
      <c r="X217" s="275">
        <v>0</v>
      </c>
      <c r="Y217" s="275">
        <v>0</v>
      </c>
      <c r="Z217" s="275">
        <v>0</v>
      </c>
      <c r="AA217" s="275">
        <f t="shared" si="56"/>
        <v>0</v>
      </c>
      <c r="AB217" s="814"/>
      <c r="AC217" s="581"/>
      <c r="AD217" s="581"/>
      <c r="AE217" s="581"/>
      <c r="AF217" s="582"/>
      <c r="AG217" s="266"/>
      <c r="AH217" s="266"/>
      <c r="AI217" s="266"/>
      <c r="AJ217" s="266"/>
      <c r="AK217" s="266"/>
      <c r="AL217" s="266"/>
      <c r="AM217" s="266"/>
      <c r="AN217" s="266"/>
      <c r="AO217" s="266"/>
      <c r="AP217" s="266"/>
      <c r="AQ217" s="266"/>
      <c r="AR217" s="266"/>
      <c r="AS217" s="266"/>
    </row>
    <row r="218" spans="1:45" ht="15" customHeight="1">
      <c r="A218" s="281"/>
      <c r="B218" s="447" t="s">
        <v>131</v>
      </c>
      <c r="C218" s="518" t="s">
        <v>8</v>
      </c>
      <c r="D218" s="552">
        <v>59.8</v>
      </c>
      <c r="E218" s="370"/>
      <c r="F218" s="447" t="s">
        <v>131</v>
      </c>
      <c r="G218" s="518" t="s">
        <v>8</v>
      </c>
      <c r="H218" s="490">
        <v>0</v>
      </c>
      <c r="I218" s="343"/>
      <c r="J218" s="277"/>
      <c r="K218" s="277"/>
      <c r="L218" s="277">
        <v>1.91</v>
      </c>
      <c r="M218" s="277"/>
      <c r="N218" s="300">
        <v>1.91</v>
      </c>
      <c r="O218" s="424">
        <f t="shared" si="51"/>
        <v>0</v>
      </c>
      <c r="P218" s="277">
        <f t="shared" si="52"/>
        <v>0</v>
      </c>
      <c r="Q218" s="277">
        <f t="shared" si="53"/>
        <v>0</v>
      </c>
      <c r="R218" s="277">
        <f t="shared" si="54"/>
        <v>0</v>
      </c>
      <c r="S218" s="369">
        <f t="shared" si="55"/>
        <v>0</v>
      </c>
      <c r="T218" s="294"/>
      <c r="U218" s="275">
        <v>0</v>
      </c>
      <c r="V218" s="275">
        <v>0</v>
      </c>
      <c r="W218" s="275">
        <v>0</v>
      </c>
      <c r="X218" s="275">
        <v>0</v>
      </c>
      <c r="Y218" s="275">
        <v>0</v>
      </c>
      <c r="Z218" s="275">
        <v>0</v>
      </c>
      <c r="AA218" s="275">
        <f t="shared" si="56"/>
        <v>0</v>
      </c>
      <c r="AB218" s="814"/>
      <c r="AC218" s="581"/>
      <c r="AD218" s="581"/>
      <c r="AE218" s="581"/>
      <c r="AF218" s="582"/>
      <c r="AG218" s="266"/>
      <c r="AH218" s="266"/>
      <c r="AI218" s="266"/>
      <c r="AJ218" s="266"/>
      <c r="AK218" s="266"/>
      <c r="AL218" s="266"/>
      <c r="AM218" s="266"/>
      <c r="AN218" s="266"/>
      <c r="AO218" s="266"/>
      <c r="AP218" s="266"/>
      <c r="AQ218" s="266"/>
      <c r="AR218" s="266"/>
      <c r="AS218" s="266"/>
    </row>
    <row r="219" spans="1:45" ht="15" customHeight="1">
      <c r="A219" s="281" t="s">
        <v>155</v>
      </c>
      <c r="B219" s="442" t="s">
        <v>124</v>
      </c>
      <c r="C219" s="521" t="s">
        <v>120</v>
      </c>
      <c r="D219" s="552">
        <v>598</v>
      </c>
      <c r="E219" s="370" t="s">
        <v>155</v>
      </c>
      <c r="F219" s="442" t="s">
        <v>124</v>
      </c>
      <c r="G219" s="521" t="s">
        <v>120</v>
      </c>
      <c r="H219" s="490">
        <v>0</v>
      </c>
      <c r="I219" s="320">
        <v>0.45454545454545453</v>
      </c>
      <c r="J219" s="277">
        <v>2.2</v>
      </c>
      <c r="K219" s="277">
        <v>1</v>
      </c>
      <c r="L219" s="277"/>
      <c r="M219" s="277">
        <v>0.2</v>
      </c>
      <c r="N219" s="300">
        <v>1.2</v>
      </c>
      <c r="O219" s="424">
        <f t="shared" si="51"/>
        <v>0</v>
      </c>
      <c r="P219" s="277">
        <f t="shared" si="52"/>
        <v>0</v>
      </c>
      <c r="Q219" s="277">
        <f t="shared" si="53"/>
        <v>0</v>
      </c>
      <c r="R219" s="277">
        <f t="shared" si="54"/>
        <v>0</v>
      </c>
      <c r="S219" s="369">
        <f t="shared" si="55"/>
        <v>0</v>
      </c>
      <c r="T219" s="294"/>
      <c r="U219" s="275">
        <v>0</v>
      </c>
      <c r="V219" s="275">
        <v>0</v>
      </c>
      <c r="W219" s="275">
        <v>0</v>
      </c>
      <c r="X219" s="275">
        <v>0</v>
      </c>
      <c r="Y219" s="275">
        <v>0</v>
      </c>
      <c r="Z219" s="275">
        <v>0</v>
      </c>
      <c r="AA219" s="275">
        <f t="shared" si="56"/>
        <v>0</v>
      </c>
      <c r="AB219" s="814"/>
      <c r="AC219" s="581"/>
      <c r="AD219" s="581"/>
      <c r="AE219" s="581"/>
      <c r="AF219" s="582"/>
      <c r="AG219" s="266"/>
      <c r="AH219" s="266"/>
      <c r="AI219" s="266"/>
      <c r="AJ219" s="266"/>
      <c r="AK219" s="266"/>
      <c r="AL219" s="266"/>
      <c r="AM219" s="266"/>
      <c r="AN219" s="266"/>
      <c r="AO219" s="266"/>
      <c r="AP219" s="266"/>
      <c r="AQ219" s="266"/>
      <c r="AR219" s="266"/>
      <c r="AS219" s="266"/>
    </row>
    <row r="220" spans="1:45" ht="15" customHeight="1">
      <c r="A220" s="281"/>
      <c r="B220" s="451" t="s">
        <v>125</v>
      </c>
      <c r="C220" s="521" t="s">
        <v>18</v>
      </c>
      <c r="D220" s="552">
        <v>2990</v>
      </c>
      <c r="E220" s="370"/>
      <c r="F220" s="451" t="s">
        <v>125</v>
      </c>
      <c r="G220" s="521" t="s">
        <v>18</v>
      </c>
      <c r="H220" s="490">
        <v>0</v>
      </c>
      <c r="I220" s="343"/>
      <c r="J220" s="277"/>
      <c r="K220" s="277"/>
      <c r="L220" s="277">
        <v>0.11</v>
      </c>
      <c r="M220" s="277"/>
      <c r="N220" s="300">
        <v>0.11</v>
      </c>
      <c r="O220" s="424">
        <f t="shared" si="51"/>
        <v>0</v>
      </c>
      <c r="P220" s="277">
        <f t="shared" si="52"/>
        <v>0</v>
      </c>
      <c r="Q220" s="277">
        <f t="shared" si="53"/>
        <v>0</v>
      </c>
      <c r="R220" s="277">
        <f t="shared" si="54"/>
        <v>0</v>
      </c>
      <c r="S220" s="369">
        <f t="shared" si="55"/>
        <v>0</v>
      </c>
      <c r="T220" s="294"/>
      <c r="U220" s="275">
        <v>0</v>
      </c>
      <c r="V220" s="275">
        <v>0</v>
      </c>
      <c r="W220" s="275">
        <v>0</v>
      </c>
      <c r="X220" s="275">
        <v>0</v>
      </c>
      <c r="Y220" s="275">
        <v>0</v>
      </c>
      <c r="Z220" s="275">
        <v>0</v>
      </c>
      <c r="AA220" s="275">
        <f t="shared" si="56"/>
        <v>0</v>
      </c>
      <c r="AB220" s="814"/>
      <c r="AC220" s="581"/>
      <c r="AD220" s="581"/>
      <c r="AE220" s="581"/>
      <c r="AF220" s="582"/>
      <c r="AG220" s="266"/>
      <c r="AH220" s="266"/>
      <c r="AI220" s="266"/>
      <c r="AJ220" s="266"/>
      <c r="AK220" s="266"/>
      <c r="AL220" s="266"/>
      <c r="AM220" s="266"/>
      <c r="AN220" s="266"/>
      <c r="AO220" s="266"/>
      <c r="AP220" s="266"/>
      <c r="AQ220" s="266"/>
      <c r="AR220" s="266"/>
      <c r="AS220" s="266"/>
    </row>
    <row r="221" spans="1:45" ht="15" customHeight="1">
      <c r="A221" s="281"/>
      <c r="B221" s="451" t="s">
        <v>126</v>
      </c>
      <c r="C221" s="521" t="s">
        <v>120</v>
      </c>
      <c r="D221" s="552">
        <v>627.9</v>
      </c>
      <c r="E221" s="370"/>
      <c r="F221" s="451" t="s">
        <v>126</v>
      </c>
      <c r="G221" s="521" t="s">
        <v>120</v>
      </c>
      <c r="H221" s="490">
        <v>0</v>
      </c>
      <c r="I221" s="343"/>
      <c r="J221" s="277"/>
      <c r="K221" s="277"/>
      <c r="L221" s="277">
        <v>0.31</v>
      </c>
      <c r="M221" s="277"/>
      <c r="N221" s="300">
        <v>0.31</v>
      </c>
      <c r="O221" s="424">
        <f t="shared" si="51"/>
        <v>0</v>
      </c>
      <c r="P221" s="277">
        <f t="shared" si="52"/>
        <v>0</v>
      </c>
      <c r="Q221" s="277">
        <f t="shared" si="53"/>
        <v>0</v>
      </c>
      <c r="R221" s="277">
        <f t="shared" si="54"/>
        <v>0</v>
      </c>
      <c r="S221" s="369">
        <f t="shared" si="55"/>
        <v>0</v>
      </c>
      <c r="T221" s="294"/>
      <c r="U221" s="275">
        <v>0</v>
      </c>
      <c r="V221" s="275">
        <v>0</v>
      </c>
      <c r="W221" s="275">
        <v>0</v>
      </c>
      <c r="X221" s="275">
        <v>0</v>
      </c>
      <c r="Y221" s="275">
        <v>0</v>
      </c>
      <c r="Z221" s="275">
        <v>0</v>
      </c>
      <c r="AA221" s="275">
        <f t="shared" si="56"/>
        <v>0</v>
      </c>
      <c r="AB221" s="814"/>
      <c r="AC221" s="581"/>
      <c r="AD221" s="581"/>
      <c r="AE221" s="581"/>
      <c r="AF221" s="582"/>
      <c r="AG221" s="266"/>
      <c r="AH221" s="266"/>
      <c r="AI221" s="266"/>
      <c r="AJ221" s="266"/>
      <c r="AK221" s="266"/>
      <c r="AL221" s="266"/>
      <c r="AM221" s="266"/>
      <c r="AN221" s="266"/>
      <c r="AO221" s="266"/>
      <c r="AP221" s="266"/>
      <c r="AQ221" s="266"/>
      <c r="AR221" s="266"/>
      <c r="AS221" s="266"/>
    </row>
    <row r="222" spans="1:45" ht="15" customHeight="1">
      <c r="A222" s="281"/>
      <c r="B222" s="447" t="s">
        <v>132</v>
      </c>
      <c r="C222" s="518" t="s">
        <v>112</v>
      </c>
      <c r="D222" s="552">
        <v>418.6</v>
      </c>
      <c r="E222" s="370"/>
      <c r="F222" s="447" t="s">
        <v>132</v>
      </c>
      <c r="G222" s="518" t="s">
        <v>112</v>
      </c>
      <c r="H222" s="490">
        <v>0</v>
      </c>
      <c r="I222" s="343"/>
      <c r="J222" s="277"/>
      <c r="K222" s="277"/>
      <c r="L222" s="277">
        <v>0.26</v>
      </c>
      <c r="M222" s="277"/>
      <c r="N222" s="300">
        <v>0.26</v>
      </c>
      <c r="O222" s="424">
        <f t="shared" si="51"/>
        <v>0</v>
      </c>
      <c r="P222" s="277">
        <f t="shared" si="52"/>
        <v>0</v>
      </c>
      <c r="Q222" s="277">
        <f t="shared" si="53"/>
        <v>0</v>
      </c>
      <c r="R222" s="277">
        <f t="shared" si="54"/>
        <v>0</v>
      </c>
      <c r="S222" s="369">
        <f t="shared" si="55"/>
        <v>0</v>
      </c>
      <c r="T222" s="294"/>
      <c r="U222" s="275">
        <v>0</v>
      </c>
      <c r="V222" s="275">
        <v>0</v>
      </c>
      <c r="W222" s="275">
        <v>0</v>
      </c>
      <c r="X222" s="275">
        <v>0</v>
      </c>
      <c r="Y222" s="275">
        <v>0</v>
      </c>
      <c r="Z222" s="275">
        <v>0</v>
      </c>
      <c r="AA222" s="275">
        <f t="shared" si="56"/>
        <v>0</v>
      </c>
      <c r="AB222" s="814"/>
      <c r="AC222" s="581"/>
      <c r="AD222" s="581"/>
      <c r="AE222" s="581"/>
      <c r="AF222" s="582"/>
      <c r="AG222" s="266"/>
      <c r="AH222" s="266"/>
      <c r="AI222" s="266"/>
      <c r="AJ222" s="266"/>
      <c r="AK222" s="266"/>
      <c r="AL222" s="266"/>
      <c r="AM222" s="266"/>
      <c r="AN222" s="266"/>
      <c r="AO222" s="266"/>
      <c r="AP222" s="266"/>
      <c r="AQ222" s="266"/>
      <c r="AR222" s="266"/>
      <c r="AS222" s="266"/>
    </row>
    <row r="223" spans="1:45" ht="15" customHeight="1">
      <c r="A223" s="281" t="s">
        <v>156</v>
      </c>
      <c r="B223" s="442" t="s">
        <v>127</v>
      </c>
      <c r="C223" s="521" t="s">
        <v>120</v>
      </c>
      <c r="D223" s="552">
        <v>598</v>
      </c>
      <c r="E223" s="370" t="s">
        <v>156</v>
      </c>
      <c r="F223" s="442" t="s">
        <v>127</v>
      </c>
      <c r="G223" s="521" t="s">
        <v>120</v>
      </c>
      <c r="H223" s="490">
        <v>0</v>
      </c>
      <c r="I223" s="320">
        <v>0.9090909090909091</v>
      </c>
      <c r="J223" s="277">
        <v>2.2</v>
      </c>
      <c r="K223" s="277">
        <v>2</v>
      </c>
      <c r="L223" s="277"/>
      <c r="M223" s="277">
        <v>0.15</v>
      </c>
      <c r="N223" s="300">
        <v>2.15</v>
      </c>
      <c r="O223" s="424">
        <f t="shared" si="51"/>
        <v>0</v>
      </c>
      <c r="P223" s="277">
        <f t="shared" si="52"/>
        <v>0</v>
      </c>
      <c r="Q223" s="277">
        <f t="shared" si="53"/>
        <v>0</v>
      </c>
      <c r="R223" s="277">
        <f t="shared" si="54"/>
        <v>0</v>
      </c>
      <c r="S223" s="369">
        <f t="shared" si="55"/>
        <v>0</v>
      </c>
      <c r="T223" s="294"/>
      <c r="U223" s="275">
        <v>0</v>
      </c>
      <c r="V223" s="275">
        <v>0</v>
      </c>
      <c r="W223" s="275">
        <v>0</v>
      </c>
      <c r="X223" s="275">
        <v>0</v>
      </c>
      <c r="Y223" s="275">
        <v>0</v>
      </c>
      <c r="Z223" s="275">
        <v>0</v>
      </c>
      <c r="AA223" s="275">
        <f t="shared" si="56"/>
        <v>0</v>
      </c>
      <c r="AB223" s="814"/>
      <c r="AC223" s="581"/>
      <c r="AD223" s="581"/>
      <c r="AE223" s="581"/>
      <c r="AF223" s="582"/>
      <c r="AG223" s="266"/>
      <c r="AH223" s="266"/>
      <c r="AI223" s="266"/>
      <c r="AJ223" s="266"/>
      <c r="AK223" s="266"/>
      <c r="AL223" s="266"/>
      <c r="AM223" s="266"/>
      <c r="AN223" s="266"/>
      <c r="AO223" s="266"/>
      <c r="AP223" s="266"/>
      <c r="AQ223" s="266"/>
      <c r="AR223" s="266"/>
      <c r="AS223" s="266"/>
    </row>
    <row r="224" spans="1:45" ht="15" customHeight="1">
      <c r="A224" s="281"/>
      <c r="B224" s="451" t="s">
        <v>121</v>
      </c>
      <c r="C224" s="521" t="s">
        <v>18</v>
      </c>
      <c r="D224" s="552">
        <v>119.6</v>
      </c>
      <c r="E224" s="370"/>
      <c r="F224" s="451" t="s">
        <v>121</v>
      </c>
      <c r="G224" s="521" t="s">
        <v>18</v>
      </c>
      <c r="H224" s="490">
        <v>0</v>
      </c>
      <c r="I224" s="343"/>
      <c r="J224" s="277"/>
      <c r="K224" s="277"/>
      <c r="L224" s="277">
        <v>0.69</v>
      </c>
      <c r="M224" s="277"/>
      <c r="N224" s="300">
        <v>0.69</v>
      </c>
      <c r="O224" s="424">
        <f t="shared" si="51"/>
        <v>0</v>
      </c>
      <c r="P224" s="277">
        <f t="shared" si="52"/>
        <v>0</v>
      </c>
      <c r="Q224" s="277">
        <f t="shared" si="53"/>
        <v>0</v>
      </c>
      <c r="R224" s="277">
        <f t="shared" si="54"/>
        <v>0</v>
      </c>
      <c r="S224" s="369">
        <f t="shared" si="55"/>
        <v>0</v>
      </c>
      <c r="T224" s="294"/>
      <c r="U224" s="275">
        <v>0</v>
      </c>
      <c r="V224" s="275">
        <v>0</v>
      </c>
      <c r="W224" s="275">
        <v>0</v>
      </c>
      <c r="X224" s="275">
        <v>0</v>
      </c>
      <c r="Y224" s="275">
        <v>0</v>
      </c>
      <c r="Z224" s="275">
        <v>0</v>
      </c>
      <c r="AA224" s="275">
        <f t="shared" si="56"/>
        <v>0</v>
      </c>
      <c r="AB224" s="814"/>
      <c r="AC224" s="581"/>
      <c r="AD224" s="581"/>
      <c r="AE224" s="581"/>
      <c r="AF224" s="582"/>
      <c r="AG224" s="266"/>
      <c r="AH224" s="266"/>
      <c r="AI224" s="266"/>
      <c r="AJ224" s="266"/>
      <c r="AK224" s="266"/>
      <c r="AL224" s="266"/>
      <c r="AM224" s="266"/>
      <c r="AN224" s="266"/>
      <c r="AO224" s="266"/>
      <c r="AP224" s="266"/>
      <c r="AQ224" s="266"/>
      <c r="AR224" s="266"/>
      <c r="AS224" s="266"/>
    </row>
    <row r="225" spans="1:45" ht="15" customHeight="1">
      <c r="A225" s="281"/>
      <c r="B225" s="451" t="s">
        <v>128</v>
      </c>
      <c r="C225" s="521" t="s">
        <v>18</v>
      </c>
      <c r="D225" s="552">
        <v>2093</v>
      </c>
      <c r="E225" s="370"/>
      <c r="F225" s="451" t="s">
        <v>128</v>
      </c>
      <c r="G225" s="521" t="s">
        <v>18</v>
      </c>
      <c r="H225" s="490">
        <v>0</v>
      </c>
      <c r="I225" s="343"/>
      <c r="J225" s="277"/>
      <c r="K225" s="277"/>
      <c r="L225" s="277">
        <v>0.18</v>
      </c>
      <c r="M225" s="277"/>
      <c r="N225" s="300">
        <v>0.18</v>
      </c>
      <c r="O225" s="424">
        <f t="shared" si="51"/>
        <v>0</v>
      </c>
      <c r="P225" s="277">
        <f t="shared" si="52"/>
        <v>0</v>
      </c>
      <c r="Q225" s="277">
        <f t="shared" si="53"/>
        <v>0</v>
      </c>
      <c r="R225" s="277">
        <f t="shared" si="54"/>
        <v>0</v>
      </c>
      <c r="S225" s="369">
        <f t="shared" si="55"/>
        <v>0</v>
      </c>
      <c r="T225" s="294"/>
      <c r="U225" s="275">
        <v>0</v>
      </c>
      <c r="V225" s="275">
        <v>0</v>
      </c>
      <c r="W225" s="275">
        <v>0</v>
      </c>
      <c r="X225" s="275">
        <v>0</v>
      </c>
      <c r="Y225" s="275">
        <v>0</v>
      </c>
      <c r="Z225" s="275">
        <v>0</v>
      </c>
      <c r="AA225" s="275">
        <f t="shared" si="56"/>
        <v>0</v>
      </c>
      <c r="AB225" s="814"/>
      <c r="AC225" s="581"/>
      <c r="AD225" s="581"/>
      <c r="AE225" s="581"/>
      <c r="AF225" s="582"/>
      <c r="AG225" s="266"/>
      <c r="AH225" s="266"/>
      <c r="AI225" s="266"/>
      <c r="AJ225" s="266"/>
      <c r="AK225" s="266"/>
      <c r="AL225" s="266"/>
      <c r="AM225" s="266"/>
      <c r="AN225" s="266"/>
      <c r="AO225" s="266"/>
      <c r="AP225" s="266"/>
      <c r="AQ225" s="266"/>
      <c r="AR225" s="266"/>
      <c r="AS225" s="266"/>
    </row>
    <row r="226" spans="1:45" ht="29.25" customHeight="1">
      <c r="A226" s="281" t="s">
        <v>267</v>
      </c>
      <c r="B226" s="442" t="s">
        <v>264</v>
      </c>
      <c r="C226" s="521" t="s">
        <v>8</v>
      </c>
      <c r="D226" s="552">
        <v>80</v>
      </c>
      <c r="E226" s="370" t="s">
        <v>267</v>
      </c>
      <c r="F226" s="442" t="s">
        <v>264</v>
      </c>
      <c r="G226" s="521" t="s">
        <v>8</v>
      </c>
      <c r="H226" s="490">
        <v>0</v>
      </c>
      <c r="I226" s="320">
        <v>2.2727272727272725</v>
      </c>
      <c r="J226" s="277">
        <v>2.2</v>
      </c>
      <c r="K226" s="277">
        <v>5</v>
      </c>
      <c r="L226" s="277"/>
      <c r="M226" s="277">
        <v>0.25</v>
      </c>
      <c r="N226" s="300">
        <v>5.25</v>
      </c>
      <c r="O226" s="424">
        <f t="shared" si="51"/>
        <v>0</v>
      </c>
      <c r="P226" s="277">
        <f t="shared" si="52"/>
        <v>0</v>
      </c>
      <c r="Q226" s="277">
        <f t="shared" si="53"/>
        <v>0</v>
      </c>
      <c r="R226" s="277">
        <f t="shared" si="54"/>
        <v>0</v>
      </c>
      <c r="S226" s="369">
        <f t="shared" si="55"/>
        <v>0</v>
      </c>
      <c r="T226" s="294"/>
      <c r="U226" s="275">
        <v>0</v>
      </c>
      <c r="V226" s="275">
        <v>0</v>
      </c>
      <c r="W226" s="275">
        <v>0</v>
      </c>
      <c r="X226" s="275">
        <v>0</v>
      </c>
      <c r="Y226" s="275">
        <v>0</v>
      </c>
      <c r="Z226" s="275">
        <v>0</v>
      </c>
      <c r="AA226" s="275">
        <f t="shared" si="56"/>
        <v>0</v>
      </c>
      <c r="AB226" s="814"/>
      <c r="AC226" s="581"/>
      <c r="AD226" s="581"/>
      <c r="AE226" s="581"/>
      <c r="AF226" s="582"/>
      <c r="AG226" s="266"/>
      <c r="AH226" s="266"/>
      <c r="AI226" s="266"/>
      <c r="AJ226" s="266"/>
      <c r="AK226" s="266"/>
      <c r="AL226" s="266"/>
      <c r="AM226" s="266"/>
      <c r="AN226" s="266"/>
      <c r="AO226" s="266"/>
      <c r="AP226" s="266"/>
      <c r="AQ226" s="266"/>
      <c r="AR226" s="266"/>
      <c r="AS226" s="266"/>
    </row>
    <row r="227" spans="1:45" ht="36.75" customHeight="1">
      <c r="A227" s="281" t="s">
        <v>268</v>
      </c>
      <c r="B227" s="442" t="s">
        <v>265</v>
      </c>
      <c r="C227" s="521" t="s">
        <v>3</v>
      </c>
      <c r="D227" s="552">
        <v>410</v>
      </c>
      <c r="E227" s="370" t="s">
        <v>268</v>
      </c>
      <c r="F227" s="442" t="s">
        <v>265</v>
      </c>
      <c r="G227" s="521" t="s">
        <v>3</v>
      </c>
      <c r="H227" s="490">
        <v>0</v>
      </c>
      <c r="I227" s="320">
        <v>0.15909090909090906</v>
      </c>
      <c r="J227" s="277">
        <v>2.2</v>
      </c>
      <c r="K227" s="277">
        <v>0.35</v>
      </c>
      <c r="L227" s="277"/>
      <c r="M227" s="277">
        <v>0.15</v>
      </c>
      <c r="N227" s="300">
        <v>0.5</v>
      </c>
      <c r="O227" s="424">
        <f t="shared" si="51"/>
        <v>0</v>
      </c>
      <c r="P227" s="277">
        <f t="shared" si="52"/>
        <v>0</v>
      </c>
      <c r="Q227" s="277">
        <f t="shared" si="53"/>
        <v>0</v>
      </c>
      <c r="R227" s="277">
        <f t="shared" si="54"/>
        <v>0</v>
      </c>
      <c r="S227" s="369">
        <f t="shared" si="55"/>
        <v>0</v>
      </c>
      <c r="T227" s="294"/>
      <c r="U227" s="275">
        <v>0</v>
      </c>
      <c r="V227" s="275">
        <v>0</v>
      </c>
      <c r="W227" s="275">
        <v>0</v>
      </c>
      <c r="X227" s="275">
        <v>0</v>
      </c>
      <c r="Y227" s="275">
        <v>0</v>
      </c>
      <c r="Z227" s="275">
        <v>0</v>
      </c>
      <c r="AA227" s="275">
        <f t="shared" si="56"/>
        <v>0</v>
      </c>
      <c r="AB227" s="814"/>
      <c r="AC227" s="581"/>
      <c r="AD227" s="581"/>
      <c r="AE227" s="581"/>
      <c r="AF227" s="582"/>
      <c r="AG227" s="266"/>
      <c r="AH227" s="266"/>
      <c r="AI227" s="266"/>
      <c r="AJ227" s="266"/>
      <c r="AK227" s="266"/>
      <c r="AL227" s="266"/>
      <c r="AM227" s="266"/>
      <c r="AN227" s="266"/>
      <c r="AO227" s="266"/>
      <c r="AP227" s="266"/>
      <c r="AQ227" s="266"/>
      <c r="AR227" s="266"/>
      <c r="AS227" s="266"/>
    </row>
    <row r="228" spans="1:45" ht="15" customHeight="1" thickBot="1">
      <c r="A228" s="284"/>
      <c r="B228" s="472" t="s">
        <v>266</v>
      </c>
      <c r="C228" s="523" t="s">
        <v>3</v>
      </c>
      <c r="D228" s="554">
        <v>410</v>
      </c>
      <c r="E228" s="380"/>
      <c r="F228" s="472" t="s">
        <v>266</v>
      </c>
      <c r="G228" s="523" t="s">
        <v>3</v>
      </c>
      <c r="H228" s="500">
        <v>0</v>
      </c>
      <c r="I228" s="363"/>
      <c r="J228" s="287"/>
      <c r="K228" s="287"/>
      <c r="L228" s="287">
        <v>1.05</v>
      </c>
      <c r="M228" s="287"/>
      <c r="N228" s="355">
        <v>1.05</v>
      </c>
      <c r="O228" s="424">
        <f t="shared" si="51"/>
        <v>0</v>
      </c>
      <c r="P228" s="277">
        <f t="shared" si="52"/>
        <v>0</v>
      </c>
      <c r="Q228" s="277">
        <f t="shared" si="53"/>
        <v>0</v>
      </c>
      <c r="R228" s="277">
        <f t="shared" si="54"/>
        <v>0</v>
      </c>
      <c r="S228" s="369">
        <f t="shared" si="55"/>
        <v>0</v>
      </c>
      <c r="T228" s="358"/>
      <c r="U228" s="285">
        <v>0</v>
      </c>
      <c r="V228" s="285">
        <v>0</v>
      </c>
      <c r="W228" s="285">
        <v>0</v>
      </c>
      <c r="X228" s="285">
        <v>0</v>
      </c>
      <c r="Y228" s="285">
        <v>0</v>
      </c>
      <c r="Z228" s="285">
        <v>0</v>
      </c>
      <c r="AA228" s="285">
        <f t="shared" si="56"/>
        <v>0</v>
      </c>
      <c r="AB228" s="815"/>
      <c r="AC228" s="581"/>
      <c r="AD228" s="581"/>
      <c r="AE228" s="581"/>
      <c r="AF228" s="582"/>
      <c r="AG228" s="266"/>
      <c r="AH228" s="266"/>
      <c r="AI228" s="266"/>
      <c r="AJ228" s="266"/>
      <c r="AK228" s="266"/>
      <c r="AL228" s="266"/>
      <c r="AM228" s="266"/>
      <c r="AN228" s="266"/>
      <c r="AO228" s="266"/>
      <c r="AP228" s="266"/>
      <c r="AQ228" s="266"/>
      <c r="AR228" s="266"/>
      <c r="AS228" s="266"/>
    </row>
    <row r="229" spans="1:45" ht="15" customHeight="1" thickBot="1">
      <c r="A229" s="389"/>
      <c r="B229" s="473" t="s">
        <v>37</v>
      </c>
      <c r="C229" s="535"/>
      <c r="D229" s="559"/>
      <c r="E229" s="389"/>
      <c r="F229" s="473" t="s">
        <v>37</v>
      </c>
      <c r="G229" s="535"/>
      <c r="H229" s="498"/>
      <c r="I229" s="361"/>
      <c r="J229" s="310"/>
      <c r="K229" s="310"/>
      <c r="L229" s="310"/>
      <c r="M229" s="310"/>
      <c r="N229" s="404"/>
      <c r="O229" s="426">
        <f>SUM(O210:O228)</f>
        <v>0</v>
      </c>
      <c r="P229" s="310">
        <f>SUM(P210:P228)</f>
        <v>0</v>
      </c>
      <c r="Q229" s="310">
        <f>SUM(Q210:Q228)</f>
        <v>0</v>
      </c>
      <c r="R229" s="310">
        <f>SUM(R210:R228)</f>
        <v>0</v>
      </c>
      <c r="S229" s="427">
        <f>SUM(S210:S228)</f>
        <v>0</v>
      </c>
      <c r="T229" s="361">
        <f aca="true" t="shared" si="57" ref="T229:AB229">SUM(T210:T228)</f>
        <v>0</v>
      </c>
      <c r="U229" s="310">
        <f t="shared" si="57"/>
        <v>0</v>
      </c>
      <c r="V229" s="310">
        <f t="shared" si="57"/>
        <v>0</v>
      </c>
      <c r="W229" s="310">
        <f t="shared" si="57"/>
        <v>0</v>
      </c>
      <c r="X229" s="310">
        <f t="shared" si="57"/>
        <v>0</v>
      </c>
      <c r="Y229" s="310">
        <f t="shared" si="57"/>
        <v>0</v>
      </c>
      <c r="Z229" s="310">
        <f t="shared" si="57"/>
        <v>0</v>
      </c>
      <c r="AA229" s="310">
        <f t="shared" si="57"/>
        <v>0</v>
      </c>
      <c r="AB229" s="311">
        <f t="shared" si="57"/>
        <v>0</v>
      </c>
      <c r="AC229" s="586"/>
      <c r="AD229" s="581"/>
      <c r="AE229" s="581"/>
      <c r="AF229" s="582"/>
      <c r="AG229" s="266"/>
      <c r="AH229" s="266"/>
      <c r="AI229" s="266"/>
      <c r="AJ229" s="266"/>
      <c r="AK229" s="266"/>
      <c r="AL229" s="266"/>
      <c r="AM229" s="266"/>
      <c r="AN229" s="266"/>
      <c r="AO229" s="266"/>
      <c r="AP229" s="266"/>
      <c r="AQ229" s="266"/>
      <c r="AR229" s="266"/>
      <c r="AS229" s="266"/>
    </row>
    <row r="230" spans="1:45" ht="40.5" customHeight="1">
      <c r="A230" s="318" t="s">
        <v>76</v>
      </c>
      <c r="B230" s="474" t="s">
        <v>357</v>
      </c>
      <c r="C230" s="530" t="s">
        <v>4</v>
      </c>
      <c r="D230" s="566">
        <v>69</v>
      </c>
      <c r="E230" s="390" t="s">
        <v>76</v>
      </c>
      <c r="F230" s="474" t="s">
        <v>357</v>
      </c>
      <c r="G230" s="530" t="s">
        <v>4</v>
      </c>
      <c r="H230" s="509">
        <v>69</v>
      </c>
      <c r="I230" s="362"/>
      <c r="J230" s="314"/>
      <c r="K230" s="314"/>
      <c r="L230" s="314"/>
      <c r="M230" s="314"/>
      <c r="N230" s="303"/>
      <c r="O230" s="428"/>
      <c r="P230" s="314"/>
      <c r="Q230" s="314"/>
      <c r="R230" s="314"/>
      <c r="S230" s="391"/>
      <c r="T230" s="294"/>
      <c r="U230" s="275"/>
      <c r="V230" s="275"/>
      <c r="W230" s="275"/>
      <c r="X230" s="275"/>
      <c r="Y230" s="289"/>
      <c r="Z230" s="289"/>
      <c r="AA230" s="275"/>
      <c r="AB230" s="278"/>
      <c r="AC230" s="581"/>
      <c r="AD230" s="581"/>
      <c r="AE230" s="581"/>
      <c r="AF230" s="582"/>
      <c r="AG230" s="266"/>
      <c r="AH230" s="266"/>
      <c r="AI230" s="266"/>
      <c r="AJ230" s="266"/>
      <c r="AK230" s="266"/>
      <c r="AL230" s="266"/>
      <c r="AM230" s="266"/>
      <c r="AN230" s="266"/>
      <c r="AO230" s="266"/>
      <c r="AP230" s="266"/>
      <c r="AQ230" s="266"/>
      <c r="AR230" s="266"/>
      <c r="AS230" s="266"/>
    </row>
    <row r="231" spans="1:45" ht="30.75" customHeight="1">
      <c r="A231" s="281" t="s">
        <v>77</v>
      </c>
      <c r="B231" s="437" t="s">
        <v>12</v>
      </c>
      <c r="C231" s="519" t="s">
        <v>347</v>
      </c>
      <c r="D231" s="553">
        <v>69</v>
      </c>
      <c r="E231" s="370" t="s">
        <v>77</v>
      </c>
      <c r="F231" s="437" t="s">
        <v>12</v>
      </c>
      <c r="G231" s="519" t="s">
        <v>347</v>
      </c>
      <c r="H231" s="487">
        <v>69</v>
      </c>
      <c r="I231" s="320">
        <v>2.954545454545454</v>
      </c>
      <c r="J231" s="277">
        <v>2.2</v>
      </c>
      <c r="K231" s="276">
        <v>6.5</v>
      </c>
      <c r="L231" s="276"/>
      <c r="M231" s="276">
        <v>1.05</v>
      </c>
      <c r="N231" s="300">
        <v>7.55</v>
      </c>
      <c r="O231" s="424">
        <f aca="true" t="shared" si="58" ref="O231:O240">H231*I231</f>
        <v>203.86363636363635</v>
      </c>
      <c r="P231" s="277">
        <f aca="true" t="shared" si="59" ref="P231:P240">H231*K231</f>
        <v>448.5</v>
      </c>
      <c r="Q231" s="277">
        <f aca="true" t="shared" si="60" ref="Q231:Q240">H231*L231</f>
        <v>0</v>
      </c>
      <c r="R231" s="277">
        <f aca="true" t="shared" si="61" ref="R231:R240">H231*M231</f>
        <v>72.45</v>
      </c>
      <c r="S231" s="369">
        <f aca="true" t="shared" si="62" ref="S231:S240">P231+Q231+R231</f>
        <v>520.95</v>
      </c>
      <c r="T231" s="413">
        <v>5.81</v>
      </c>
      <c r="U231" s="275">
        <f>T231*K231</f>
        <v>37.765</v>
      </c>
      <c r="V231" s="275">
        <f aca="true" t="shared" si="63" ref="V231:V240">T231*L231</f>
        <v>0</v>
      </c>
      <c r="W231" s="275">
        <f aca="true" t="shared" si="64" ref="W231:W240">T231*M231</f>
        <v>6.1005</v>
      </c>
      <c r="X231" s="296">
        <f aca="true" t="shared" si="65" ref="X231:X240">U231+V231+W231</f>
        <v>43.8655</v>
      </c>
      <c r="Y231" s="275">
        <v>59.74</v>
      </c>
      <c r="Z231" s="275">
        <v>451.03700000000003</v>
      </c>
      <c r="AA231" s="275">
        <f>S231-X231-Z231</f>
        <v>26.047500000000014</v>
      </c>
      <c r="AB231" s="278"/>
      <c r="AC231" s="330"/>
      <c r="AD231" s="581"/>
      <c r="AE231" s="581"/>
      <c r="AF231" s="582"/>
      <c r="AG231" s="266"/>
      <c r="AH231" s="266"/>
      <c r="AI231" s="266"/>
      <c r="AJ231" s="266"/>
      <c r="AK231" s="266"/>
      <c r="AL231" s="266"/>
      <c r="AM231" s="266"/>
      <c r="AN231" s="266"/>
      <c r="AO231" s="266"/>
      <c r="AP231" s="266"/>
      <c r="AQ231" s="266"/>
      <c r="AR231" s="266"/>
      <c r="AS231" s="266"/>
    </row>
    <row r="232" spans="1:45" ht="15" customHeight="1">
      <c r="A232" s="281"/>
      <c r="B232" s="449" t="s">
        <v>269</v>
      </c>
      <c r="C232" s="519" t="s">
        <v>4</v>
      </c>
      <c r="D232" s="553">
        <v>69</v>
      </c>
      <c r="E232" s="370"/>
      <c r="F232" s="449" t="s">
        <v>269</v>
      </c>
      <c r="G232" s="519" t="s">
        <v>4</v>
      </c>
      <c r="H232" s="487">
        <v>69</v>
      </c>
      <c r="I232" s="320"/>
      <c r="J232" s="276"/>
      <c r="K232" s="276"/>
      <c r="L232" s="276">
        <v>45</v>
      </c>
      <c r="M232" s="276"/>
      <c r="N232" s="300">
        <v>45</v>
      </c>
      <c r="O232" s="424">
        <f t="shared" si="58"/>
        <v>0</v>
      </c>
      <c r="P232" s="277">
        <f t="shared" si="59"/>
        <v>0</v>
      </c>
      <c r="Q232" s="277">
        <f t="shared" si="60"/>
        <v>3105</v>
      </c>
      <c r="R232" s="277">
        <f t="shared" si="61"/>
        <v>0</v>
      </c>
      <c r="S232" s="369">
        <f t="shared" si="62"/>
        <v>3105</v>
      </c>
      <c r="T232" s="413">
        <v>15.57</v>
      </c>
      <c r="U232" s="275">
        <v>0.21</v>
      </c>
      <c r="V232" s="275">
        <f t="shared" si="63"/>
        <v>700.65</v>
      </c>
      <c r="W232" s="275">
        <f t="shared" si="64"/>
        <v>0</v>
      </c>
      <c r="X232" s="296">
        <f t="shared" si="65"/>
        <v>700.86</v>
      </c>
      <c r="Y232" s="275">
        <v>49.9753</v>
      </c>
      <c r="Z232" s="275">
        <v>2248.89</v>
      </c>
      <c r="AA232" s="275">
        <f aca="true" t="shared" si="66" ref="AA232:AA240">S232-X232-Z232</f>
        <v>155.25</v>
      </c>
      <c r="AB232" s="296"/>
      <c r="AC232" s="330"/>
      <c r="AD232" s="581"/>
      <c r="AE232" s="581"/>
      <c r="AF232" s="582"/>
      <c r="AG232" s="266"/>
      <c r="AH232" s="266"/>
      <c r="AI232" s="266"/>
      <c r="AJ232" s="266"/>
      <c r="AK232" s="266"/>
      <c r="AL232" s="266"/>
      <c r="AM232" s="266"/>
      <c r="AN232" s="266"/>
      <c r="AO232" s="266"/>
      <c r="AP232" s="266"/>
      <c r="AQ232" s="266"/>
      <c r="AR232" s="266"/>
      <c r="AS232" s="266"/>
    </row>
    <row r="233" spans="1:45" ht="15" customHeight="1">
      <c r="A233" s="281"/>
      <c r="B233" s="447" t="s">
        <v>157</v>
      </c>
      <c r="C233" s="518" t="s">
        <v>4</v>
      </c>
      <c r="D233" s="552">
        <v>69</v>
      </c>
      <c r="E233" s="370"/>
      <c r="F233" s="447" t="s">
        <v>157</v>
      </c>
      <c r="G233" s="518" t="s">
        <v>4</v>
      </c>
      <c r="H233" s="486">
        <v>69</v>
      </c>
      <c r="I233" s="320"/>
      <c r="J233" s="276"/>
      <c r="K233" s="276"/>
      <c r="L233" s="276">
        <v>5</v>
      </c>
      <c r="M233" s="276"/>
      <c r="N233" s="300">
        <v>5</v>
      </c>
      <c r="O233" s="424">
        <f t="shared" si="58"/>
        <v>0</v>
      </c>
      <c r="P233" s="277">
        <f t="shared" si="59"/>
        <v>0</v>
      </c>
      <c r="Q233" s="277">
        <f t="shared" si="60"/>
        <v>345</v>
      </c>
      <c r="R233" s="277">
        <f t="shared" si="61"/>
        <v>0</v>
      </c>
      <c r="S233" s="369">
        <f t="shared" si="62"/>
        <v>345</v>
      </c>
      <c r="T233" s="413">
        <v>5.81</v>
      </c>
      <c r="U233" s="275">
        <f aca="true" t="shared" si="67" ref="U233:U240">T233*K233</f>
        <v>0</v>
      </c>
      <c r="V233" s="275">
        <f t="shared" si="63"/>
        <v>29.049999999999997</v>
      </c>
      <c r="W233" s="275">
        <f t="shared" si="64"/>
        <v>0</v>
      </c>
      <c r="X233" s="296">
        <f t="shared" si="65"/>
        <v>29.049999999999997</v>
      </c>
      <c r="Y233" s="275">
        <v>59.74</v>
      </c>
      <c r="Z233" s="275">
        <v>298.7</v>
      </c>
      <c r="AA233" s="275">
        <f t="shared" si="66"/>
        <v>17.25</v>
      </c>
      <c r="AB233" s="278"/>
      <c r="AC233" s="330"/>
      <c r="AD233" s="581"/>
      <c r="AE233" s="581"/>
      <c r="AF233" s="582"/>
      <c r="AG233" s="266"/>
      <c r="AH233" s="266"/>
      <c r="AI233" s="266"/>
      <c r="AJ233" s="266"/>
      <c r="AK233" s="266"/>
      <c r="AL233" s="266"/>
      <c r="AM233" s="266"/>
      <c r="AN233" s="266"/>
      <c r="AO233" s="266"/>
      <c r="AP233" s="266"/>
      <c r="AQ233" s="266"/>
      <c r="AR233" s="266"/>
      <c r="AS233" s="266"/>
    </row>
    <row r="234" spans="1:45" ht="15" customHeight="1">
      <c r="A234" s="281"/>
      <c r="B234" s="447" t="s">
        <v>158</v>
      </c>
      <c r="C234" s="518" t="s">
        <v>4</v>
      </c>
      <c r="D234" s="552">
        <v>69</v>
      </c>
      <c r="E234" s="370"/>
      <c r="F234" s="447" t="s">
        <v>158</v>
      </c>
      <c r="G234" s="518" t="s">
        <v>4</v>
      </c>
      <c r="H234" s="486">
        <v>69</v>
      </c>
      <c r="I234" s="320"/>
      <c r="J234" s="276"/>
      <c r="K234" s="276"/>
      <c r="L234" s="276">
        <v>1</v>
      </c>
      <c r="M234" s="276"/>
      <c r="N234" s="300">
        <v>1</v>
      </c>
      <c r="O234" s="424">
        <f t="shared" si="58"/>
        <v>0</v>
      </c>
      <c r="P234" s="277">
        <f t="shared" si="59"/>
        <v>0</v>
      </c>
      <c r="Q234" s="277">
        <f t="shared" si="60"/>
        <v>69</v>
      </c>
      <c r="R234" s="277">
        <f t="shared" si="61"/>
        <v>0</v>
      </c>
      <c r="S234" s="369">
        <f t="shared" si="62"/>
        <v>69</v>
      </c>
      <c r="T234" s="413">
        <v>5.81</v>
      </c>
      <c r="U234" s="275">
        <f t="shared" si="67"/>
        <v>0</v>
      </c>
      <c r="V234" s="275">
        <f t="shared" si="63"/>
        <v>5.81</v>
      </c>
      <c r="W234" s="275">
        <f t="shared" si="64"/>
        <v>0</v>
      </c>
      <c r="X234" s="296">
        <f t="shared" si="65"/>
        <v>5.81</v>
      </c>
      <c r="Y234" s="275">
        <v>59.74</v>
      </c>
      <c r="Z234" s="275">
        <v>59.74</v>
      </c>
      <c r="AA234" s="275">
        <f t="shared" si="66"/>
        <v>3.4499999999999957</v>
      </c>
      <c r="AB234" s="278"/>
      <c r="AC234" s="330"/>
      <c r="AD234" s="581"/>
      <c r="AE234" s="581"/>
      <c r="AF234" s="582"/>
      <c r="AG234" s="266"/>
      <c r="AH234" s="266"/>
      <c r="AI234" s="266"/>
      <c r="AJ234" s="266"/>
      <c r="AK234" s="266"/>
      <c r="AL234" s="266"/>
      <c r="AM234" s="266"/>
      <c r="AN234" s="266"/>
      <c r="AO234" s="266"/>
      <c r="AP234" s="266"/>
      <c r="AQ234" s="266"/>
      <c r="AR234" s="266"/>
      <c r="AS234" s="266"/>
    </row>
    <row r="235" spans="1:45" ht="15" customHeight="1">
      <c r="A235" s="282"/>
      <c r="B235" s="451" t="s">
        <v>145</v>
      </c>
      <c r="C235" s="519" t="s">
        <v>144</v>
      </c>
      <c r="D235" s="553">
        <v>20.7</v>
      </c>
      <c r="E235" s="375"/>
      <c r="F235" s="451" t="s">
        <v>145</v>
      </c>
      <c r="G235" s="519" t="s">
        <v>144</v>
      </c>
      <c r="H235" s="487">
        <v>20.7</v>
      </c>
      <c r="I235" s="320"/>
      <c r="J235" s="276"/>
      <c r="K235" s="276"/>
      <c r="L235" s="276">
        <v>1.91</v>
      </c>
      <c r="M235" s="276"/>
      <c r="N235" s="300">
        <v>1.91</v>
      </c>
      <c r="O235" s="424">
        <f t="shared" si="58"/>
        <v>0</v>
      </c>
      <c r="P235" s="277">
        <f t="shared" si="59"/>
        <v>0</v>
      </c>
      <c r="Q235" s="277">
        <f t="shared" si="60"/>
        <v>39.537</v>
      </c>
      <c r="R235" s="277">
        <f t="shared" si="61"/>
        <v>0</v>
      </c>
      <c r="S235" s="369">
        <f t="shared" si="62"/>
        <v>39.537</v>
      </c>
      <c r="T235" s="413">
        <v>1.74</v>
      </c>
      <c r="U235" s="275">
        <f t="shared" si="67"/>
        <v>0</v>
      </c>
      <c r="V235" s="275">
        <f t="shared" si="63"/>
        <v>3.3234</v>
      </c>
      <c r="W235" s="275">
        <f t="shared" si="64"/>
        <v>0</v>
      </c>
      <c r="X235" s="296">
        <f t="shared" si="65"/>
        <v>3.3234</v>
      </c>
      <c r="Y235" s="275">
        <v>17.93</v>
      </c>
      <c r="Z235" s="275">
        <v>34.25</v>
      </c>
      <c r="AA235" s="275">
        <f t="shared" si="66"/>
        <v>1.9635999999999996</v>
      </c>
      <c r="AB235" s="278"/>
      <c r="AC235" s="330"/>
      <c r="AD235" s="581"/>
      <c r="AE235" s="581"/>
      <c r="AF235" s="582"/>
      <c r="AG235" s="266"/>
      <c r="AH235" s="266"/>
      <c r="AI235" s="585"/>
      <c r="AJ235" s="266"/>
      <c r="AK235" s="266"/>
      <c r="AL235" s="266"/>
      <c r="AM235" s="266"/>
      <c r="AN235" s="266"/>
      <c r="AO235" s="266"/>
      <c r="AP235" s="266"/>
      <c r="AQ235" s="266"/>
      <c r="AR235" s="266"/>
      <c r="AS235" s="266"/>
    </row>
    <row r="236" spans="1:45" ht="15" customHeight="1">
      <c r="A236" s="281" t="s">
        <v>78</v>
      </c>
      <c r="B236" s="446" t="s">
        <v>159</v>
      </c>
      <c r="C236" s="518" t="s">
        <v>3</v>
      </c>
      <c r="D236" s="552">
        <v>41</v>
      </c>
      <c r="E236" s="370" t="s">
        <v>78</v>
      </c>
      <c r="F236" s="446" t="s">
        <v>159</v>
      </c>
      <c r="G236" s="518" t="s">
        <v>3</v>
      </c>
      <c r="H236" s="486">
        <v>41</v>
      </c>
      <c r="I236" s="320">
        <v>1</v>
      </c>
      <c r="J236" s="277">
        <v>2.2</v>
      </c>
      <c r="K236" s="276">
        <v>2.2</v>
      </c>
      <c r="L236" s="276"/>
      <c r="M236" s="276">
        <v>0.5</v>
      </c>
      <c r="N236" s="300">
        <v>2.7</v>
      </c>
      <c r="O236" s="424">
        <f t="shared" si="58"/>
        <v>41</v>
      </c>
      <c r="P236" s="277">
        <f t="shared" si="59"/>
        <v>90.2</v>
      </c>
      <c r="Q236" s="277">
        <f t="shared" si="60"/>
        <v>0</v>
      </c>
      <c r="R236" s="277">
        <f t="shared" si="61"/>
        <v>20.5</v>
      </c>
      <c r="S236" s="369">
        <f t="shared" si="62"/>
        <v>110.7</v>
      </c>
      <c r="T236" s="415">
        <v>41</v>
      </c>
      <c r="U236" s="275">
        <f t="shared" si="67"/>
        <v>90.2</v>
      </c>
      <c r="V236" s="275">
        <f t="shared" si="63"/>
        <v>0</v>
      </c>
      <c r="W236" s="275">
        <f t="shared" si="64"/>
        <v>20.5</v>
      </c>
      <c r="X236" s="296">
        <f t="shared" si="65"/>
        <v>110.7</v>
      </c>
      <c r="Y236" s="275">
        <v>0</v>
      </c>
      <c r="Z236" s="275">
        <v>0</v>
      </c>
      <c r="AA236" s="275">
        <f t="shared" si="66"/>
        <v>0</v>
      </c>
      <c r="AB236" s="825" t="s">
        <v>433</v>
      </c>
      <c r="AC236" s="330"/>
      <c r="AD236" s="581"/>
      <c r="AE236" s="581"/>
      <c r="AF236" s="582"/>
      <c r="AG236" s="266"/>
      <c r="AH236" s="266"/>
      <c r="AI236" s="266"/>
      <c r="AJ236" s="266"/>
      <c r="AK236" s="266"/>
      <c r="AL236" s="266"/>
      <c r="AM236" s="266"/>
      <c r="AN236" s="266"/>
      <c r="AO236" s="266"/>
      <c r="AP236" s="266"/>
      <c r="AQ236" s="266"/>
      <c r="AR236" s="266"/>
      <c r="AS236" s="266"/>
    </row>
    <row r="237" spans="1:45" ht="15" customHeight="1">
      <c r="A237" s="281"/>
      <c r="B237" s="447" t="s">
        <v>160</v>
      </c>
      <c r="C237" s="518" t="s">
        <v>3</v>
      </c>
      <c r="D237" s="552">
        <v>50.43</v>
      </c>
      <c r="E237" s="370"/>
      <c r="F237" s="447" t="s">
        <v>160</v>
      </c>
      <c r="G237" s="518" t="s">
        <v>3</v>
      </c>
      <c r="H237" s="486">
        <v>50.43</v>
      </c>
      <c r="I237" s="320"/>
      <c r="J237" s="276"/>
      <c r="K237" s="276"/>
      <c r="L237" s="276">
        <v>4.5</v>
      </c>
      <c r="M237" s="276"/>
      <c r="N237" s="300">
        <v>4.5</v>
      </c>
      <c r="O237" s="424">
        <f t="shared" si="58"/>
        <v>0</v>
      </c>
      <c r="P237" s="277">
        <f t="shared" si="59"/>
        <v>0</v>
      </c>
      <c r="Q237" s="277">
        <f t="shared" si="60"/>
        <v>226.935</v>
      </c>
      <c r="R237" s="277">
        <f t="shared" si="61"/>
        <v>0</v>
      </c>
      <c r="S237" s="369">
        <f t="shared" si="62"/>
        <v>226.935</v>
      </c>
      <c r="T237" s="415">
        <v>50.43</v>
      </c>
      <c r="U237" s="275">
        <f t="shared" si="67"/>
        <v>0</v>
      </c>
      <c r="V237" s="275">
        <f t="shared" si="63"/>
        <v>226.935</v>
      </c>
      <c r="W237" s="275">
        <f t="shared" si="64"/>
        <v>0</v>
      </c>
      <c r="X237" s="296">
        <f t="shared" si="65"/>
        <v>226.935</v>
      </c>
      <c r="Y237" s="275">
        <v>0</v>
      </c>
      <c r="Z237" s="275">
        <v>0</v>
      </c>
      <c r="AA237" s="275">
        <f t="shared" si="66"/>
        <v>0</v>
      </c>
      <c r="AB237" s="826"/>
      <c r="AC237" s="330"/>
      <c r="AD237" s="581"/>
      <c r="AE237" s="581"/>
      <c r="AF237" s="582"/>
      <c r="AG237" s="266"/>
      <c r="AH237" s="266"/>
      <c r="AI237" s="266"/>
      <c r="AJ237" s="266"/>
      <c r="AK237" s="266"/>
      <c r="AL237" s="266"/>
      <c r="AM237" s="266"/>
      <c r="AN237" s="266"/>
      <c r="AO237" s="266"/>
      <c r="AP237" s="266"/>
      <c r="AQ237" s="266"/>
      <c r="AR237" s="266"/>
      <c r="AS237" s="266"/>
    </row>
    <row r="238" spans="1:45" ht="15" customHeight="1">
      <c r="A238" s="281"/>
      <c r="B238" s="447" t="s">
        <v>157</v>
      </c>
      <c r="C238" s="518" t="s">
        <v>3</v>
      </c>
      <c r="D238" s="552">
        <v>41</v>
      </c>
      <c r="E238" s="370"/>
      <c r="F238" s="447" t="s">
        <v>157</v>
      </c>
      <c r="G238" s="518" t="s">
        <v>3</v>
      </c>
      <c r="H238" s="486">
        <v>41</v>
      </c>
      <c r="I238" s="320"/>
      <c r="J238" s="276"/>
      <c r="K238" s="276"/>
      <c r="L238" s="276">
        <v>0.25</v>
      </c>
      <c r="M238" s="276"/>
      <c r="N238" s="300">
        <v>0.25</v>
      </c>
      <c r="O238" s="424">
        <f t="shared" si="58"/>
        <v>0</v>
      </c>
      <c r="P238" s="277">
        <f t="shared" si="59"/>
        <v>0</v>
      </c>
      <c r="Q238" s="277">
        <f t="shared" si="60"/>
        <v>10.25</v>
      </c>
      <c r="R238" s="277">
        <f t="shared" si="61"/>
        <v>0</v>
      </c>
      <c r="S238" s="369">
        <f t="shared" si="62"/>
        <v>10.25</v>
      </c>
      <c r="T238" s="415">
        <v>41</v>
      </c>
      <c r="U238" s="275">
        <f t="shared" si="67"/>
        <v>0</v>
      </c>
      <c r="V238" s="275">
        <f t="shared" si="63"/>
        <v>10.25</v>
      </c>
      <c r="W238" s="275">
        <f t="shared" si="64"/>
        <v>0</v>
      </c>
      <c r="X238" s="296">
        <f t="shared" si="65"/>
        <v>10.25</v>
      </c>
      <c r="Y238" s="275">
        <v>0</v>
      </c>
      <c r="Z238" s="275">
        <v>0</v>
      </c>
      <c r="AA238" s="275">
        <f t="shared" si="66"/>
        <v>0</v>
      </c>
      <c r="AB238" s="826"/>
      <c r="AC238" s="330"/>
      <c r="AD238" s="581"/>
      <c r="AE238" s="581"/>
      <c r="AF238" s="582"/>
      <c r="AG238" s="266"/>
      <c r="AH238" s="266"/>
      <c r="AI238" s="266"/>
      <c r="AJ238" s="266"/>
      <c r="AK238" s="266"/>
      <c r="AL238" s="266"/>
      <c r="AM238" s="266"/>
      <c r="AN238" s="266"/>
      <c r="AO238" s="266"/>
      <c r="AP238" s="266"/>
      <c r="AQ238" s="266"/>
      <c r="AR238" s="266"/>
      <c r="AS238" s="266"/>
    </row>
    <row r="239" spans="1:45" ht="15" customHeight="1">
      <c r="A239" s="281"/>
      <c r="B239" s="451" t="s">
        <v>152</v>
      </c>
      <c r="C239" s="531" t="s">
        <v>3</v>
      </c>
      <c r="D239" s="553">
        <v>41</v>
      </c>
      <c r="E239" s="370"/>
      <c r="F239" s="451" t="s">
        <v>152</v>
      </c>
      <c r="G239" s="531" t="s">
        <v>3</v>
      </c>
      <c r="H239" s="487">
        <v>41</v>
      </c>
      <c r="I239" s="320"/>
      <c r="J239" s="276"/>
      <c r="K239" s="276"/>
      <c r="L239" s="276">
        <v>0.2</v>
      </c>
      <c r="M239" s="276"/>
      <c r="N239" s="300">
        <v>0.2</v>
      </c>
      <c r="O239" s="424">
        <f t="shared" si="58"/>
        <v>0</v>
      </c>
      <c r="P239" s="277">
        <f t="shared" si="59"/>
        <v>0</v>
      </c>
      <c r="Q239" s="277">
        <f t="shared" si="60"/>
        <v>8.200000000000001</v>
      </c>
      <c r="R239" s="277">
        <f t="shared" si="61"/>
        <v>0</v>
      </c>
      <c r="S239" s="369">
        <f t="shared" si="62"/>
        <v>8.200000000000001</v>
      </c>
      <c r="T239" s="320">
        <v>41</v>
      </c>
      <c r="U239" s="275">
        <f t="shared" si="67"/>
        <v>0</v>
      </c>
      <c r="V239" s="275">
        <f t="shared" si="63"/>
        <v>8.200000000000001</v>
      </c>
      <c r="W239" s="275">
        <f t="shared" si="64"/>
        <v>0</v>
      </c>
      <c r="X239" s="296">
        <f t="shared" si="65"/>
        <v>8.200000000000001</v>
      </c>
      <c r="Y239" s="275">
        <v>0</v>
      </c>
      <c r="Z239" s="275">
        <v>0</v>
      </c>
      <c r="AA239" s="275">
        <f t="shared" si="66"/>
        <v>0</v>
      </c>
      <c r="AB239" s="826"/>
      <c r="AC239" s="330"/>
      <c r="AD239" s="581"/>
      <c r="AE239" s="581"/>
      <c r="AF239" s="582"/>
      <c r="AG239" s="266"/>
      <c r="AH239" s="266"/>
      <c r="AI239" s="266"/>
      <c r="AJ239" s="266"/>
      <c r="AK239" s="266"/>
      <c r="AL239" s="266"/>
      <c r="AM239" s="266"/>
      <c r="AN239" s="266"/>
      <c r="AO239" s="266"/>
      <c r="AP239" s="266"/>
      <c r="AQ239" s="266"/>
      <c r="AR239" s="266"/>
      <c r="AS239" s="266"/>
    </row>
    <row r="240" spans="1:45" ht="27.75" customHeight="1" thickBot="1">
      <c r="A240" s="305" t="s">
        <v>79</v>
      </c>
      <c r="B240" s="469" t="s">
        <v>74</v>
      </c>
      <c r="C240" s="677" t="s">
        <v>4</v>
      </c>
      <c r="D240" s="678">
        <v>30.5</v>
      </c>
      <c r="E240" s="679" t="s">
        <v>79</v>
      </c>
      <c r="F240" s="469" t="s">
        <v>74</v>
      </c>
      <c r="G240" s="677" t="s">
        <v>4</v>
      </c>
      <c r="H240" s="680">
        <v>30.5</v>
      </c>
      <c r="I240" s="359">
        <v>1.75</v>
      </c>
      <c r="J240" s="307">
        <v>2.2</v>
      </c>
      <c r="K240" s="306">
        <v>3.85</v>
      </c>
      <c r="L240" s="306">
        <v>2.5</v>
      </c>
      <c r="M240" s="306">
        <v>0.2</v>
      </c>
      <c r="N240" s="301">
        <v>6.55</v>
      </c>
      <c r="O240" s="431">
        <f t="shared" si="58"/>
        <v>53.375</v>
      </c>
      <c r="P240" s="307">
        <f t="shared" si="59"/>
        <v>117.425</v>
      </c>
      <c r="Q240" s="307">
        <f t="shared" si="60"/>
        <v>76.25</v>
      </c>
      <c r="R240" s="307">
        <f t="shared" si="61"/>
        <v>6.1000000000000005</v>
      </c>
      <c r="S240" s="377">
        <f t="shared" si="62"/>
        <v>199.775</v>
      </c>
      <c r="T240" s="360">
        <v>30.5</v>
      </c>
      <c r="U240" s="285">
        <f t="shared" si="67"/>
        <v>117.425</v>
      </c>
      <c r="V240" s="285">
        <f t="shared" si="63"/>
        <v>76.25</v>
      </c>
      <c r="W240" s="285">
        <f t="shared" si="64"/>
        <v>6.1000000000000005</v>
      </c>
      <c r="X240" s="326">
        <f t="shared" si="65"/>
        <v>199.775</v>
      </c>
      <c r="Y240" s="285">
        <v>0</v>
      </c>
      <c r="Z240" s="285">
        <v>0</v>
      </c>
      <c r="AA240" s="285">
        <f t="shared" si="66"/>
        <v>0</v>
      </c>
      <c r="AB240" s="827"/>
      <c r="AC240" s="330"/>
      <c r="AD240" s="581"/>
      <c r="AE240" s="581"/>
      <c r="AF240" s="582"/>
      <c r="AG240" s="266"/>
      <c r="AH240" s="266"/>
      <c r="AI240" s="266"/>
      <c r="AJ240" s="266"/>
      <c r="AK240" s="266"/>
      <c r="AL240" s="266"/>
      <c r="AM240" s="266"/>
      <c r="AN240" s="266"/>
      <c r="AO240" s="266"/>
      <c r="AP240" s="266"/>
      <c r="AQ240" s="266"/>
      <c r="AR240" s="266"/>
      <c r="AS240" s="266"/>
    </row>
    <row r="241" spans="1:45" ht="15" customHeight="1" thickBot="1">
      <c r="A241" s="389"/>
      <c r="B241" s="546" t="s">
        <v>37</v>
      </c>
      <c r="C241" s="597"/>
      <c r="D241" s="662"/>
      <c r="E241" s="681"/>
      <c r="F241" s="404"/>
      <c r="G241" s="597"/>
      <c r="H241" s="664"/>
      <c r="I241" s="361"/>
      <c r="J241" s="310"/>
      <c r="K241" s="310"/>
      <c r="L241" s="310"/>
      <c r="M241" s="310"/>
      <c r="N241" s="404"/>
      <c r="O241" s="426">
        <f>SUM(O231:O240)</f>
        <v>298.2386363636364</v>
      </c>
      <c r="P241" s="310">
        <f>SUM(P231:P240)</f>
        <v>656.125</v>
      </c>
      <c r="Q241" s="310">
        <f>SUM(Q231:Q240)</f>
        <v>3880.1719999999996</v>
      </c>
      <c r="R241" s="310">
        <f>SUM(R231:R240)</f>
        <v>99.05</v>
      </c>
      <c r="S241" s="427">
        <f>SUM(S231:S240)</f>
        <v>4635.347</v>
      </c>
      <c r="T241" s="418"/>
      <c r="U241" s="328">
        <f>SUM(U231:U240)</f>
        <v>245.60000000000002</v>
      </c>
      <c r="V241" s="328">
        <f>SUM(V231:V240)</f>
        <v>1060.4684</v>
      </c>
      <c r="W241" s="328">
        <f>SUM(W231:W240)</f>
        <v>32.7005</v>
      </c>
      <c r="X241" s="329">
        <f>SUM(X231:X240)</f>
        <v>1338.7689</v>
      </c>
      <c r="Y241" s="289">
        <v>0</v>
      </c>
      <c r="Z241" s="289">
        <v>3092.6169999999993</v>
      </c>
      <c r="AA241" s="289">
        <f>SUM(AA231:AA240)-0.01</f>
        <v>203.9511</v>
      </c>
      <c r="AB241" s="278"/>
      <c r="AC241" s="330"/>
      <c r="AD241" s="581"/>
      <c r="AE241" s="581"/>
      <c r="AF241" s="582"/>
      <c r="AG241" s="266"/>
      <c r="AH241" s="266"/>
      <c r="AI241" s="266"/>
      <c r="AJ241" s="266"/>
      <c r="AK241" s="266"/>
      <c r="AL241" s="266"/>
      <c r="AM241" s="266"/>
      <c r="AN241" s="266"/>
      <c r="AO241" s="266"/>
      <c r="AP241" s="266"/>
      <c r="AQ241" s="266"/>
      <c r="AR241" s="266"/>
      <c r="AS241" s="266"/>
    </row>
    <row r="242" spans="1:45" ht="39.75" customHeight="1">
      <c r="A242" s="318" t="s">
        <v>101</v>
      </c>
      <c r="B242" s="474" t="s">
        <v>358</v>
      </c>
      <c r="C242" s="537" t="s">
        <v>4</v>
      </c>
      <c r="D242" s="560">
        <v>29</v>
      </c>
      <c r="E242" s="390" t="s">
        <v>101</v>
      </c>
      <c r="F242" s="474" t="s">
        <v>358</v>
      </c>
      <c r="G242" s="537" t="s">
        <v>4</v>
      </c>
      <c r="H242" s="510">
        <v>29</v>
      </c>
      <c r="I242" s="362"/>
      <c r="J242" s="314"/>
      <c r="K242" s="314"/>
      <c r="L242" s="314"/>
      <c r="M242" s="314"/>
      <c r="N242" s="303"/>
      <c r="O242" s="428"/>
      <c r="P242" s="314"/>
      <c r="Q242" s="314"/>
      <c r="R242" s="314"/>
      <c r="S242" s="391"/>
      <c r="T242" s="294"/>
      <c r="U242" s="275"/>
      <c r="V242" s="275"/>
      <c r="W242" s="275"/>
      <c r="X242" s="296"/>
      <c r="Y242" s="275"/>
      <c r="Z242" s="275"/>
      <c r="AA242" s="275"/>
      <c r="AB242" s="278"/>
      <c r="AC242" s="330"/>
      <c r="AD242" s="581"/>
      <c r="AE242" s="581"/>
      <c r="AF242" s="582"/>
      <c r="AG242" s="266"/>
      <c r="AH242" s="266"/>
      <c r="AI242" s="266"/>
      <c r="AJ242" s="266"/>
      <c r="AK242" s="266"/>
      <c r="AL242" s="266"/>
      <c r="AM242" s="266"/>
      <c r="AN242" s="266"/>
      <c r="AO242" s="266"/>
      <c r="AP242" s="266"/>
      <c r="AQ242" s="266"/>
      <c r="AR242" s="266"/>
      <c r="AS242" s="266"/>
    </row>
    <row r="243" spans="1:45" ht="33.75" customHeight="1">
      <c r="A243" s="281" t="s">
        <v>102</v>
      </c>
      <c r="B243" s="437" t="s">
        <v>12</v>
      </c>
      <c r="C243" s="519" t="s">
        <v>347</v>
      </c>
      <c r="D243" s="553">
        <v>29</v>
      </c>
      <c r="E243" s="370" t="s">
        <v>102</v>
      </c>
      <c r="F243" s="437" t="s">
        <v>12</v>
      </c>
      <c r="G243" s="519" t="s">
        <v>347</v>
      </c>
      <c r="H243" s="487">
        <v>29</v>
      </c>
      <c r="I243" s="320">
        <v>2.954545454545454</v>
      </c>
      <c r="J243" s="277">
        <v>2.2</v>
      </c>
      <c r="K243" s="276">
        <v>6.5</v>
      </c>
      <c r="L243" s="276"/>
      <c r="M243" s="276">
        <v>1.05</v>
      </c>
      <c r="N243" s="300">
        <v>7.55</v>
      </c>
      <c r="O243" s="424">
        <f aca="true" t="shared" si="68" ref="O243:O248">H243*I243</f>
        <v>85.68181818181817</v>
      </c>
      <c r="P243" s="277">
        <f aca="true" t="shared" si="69" ref="P243:P248">H243*K243</f>
        <v>188.5</v>
      </c>
      <c r="Q243" s="277">
        <f aca="true" t="shared" si="70" ref="Q243:Q248">H243*L243</f>
        <v>0</v>
      </c>
      <c r="R243" s="277">
        <f aca="true" t="shared" si="71" ref="R243:R248">H243*M243</f>
        <v>30.450000000000003</v>
      </c>
      <c r="S243" s="369">
        <f aca="true" t="shared" si="72" ref="S243:S248">P243+Q243+R243</f>
        <v>218.95</v>
      </c>
      <c r="T243" s="294">
        <v>27.55</v>
      </c>
      <c r="U243" s="275">
        <f>T243*K243</f>
        <v>179.07500000000002</v>
      </c>
      <c r="V243" s="275">
        <f>T243*L243</f>
        <v>0</v>
      </c>
      <c r="W243" s="275">
        <f>T243*M243</f>
        <v>28.927500000000002</v>
      </c>
      <c r="X243" s="296">
        <f>U243+V243+W243</f>
        <v>208.00250000000003</v>
      </c>
      <c r="Y243" s="275">
        <v>0</v>
      </c>
      <c r="Z243" s="275">
        <v>0</v>
      </c>
      <c r="AA243" s="275">
        <f aca="true" t="shared" si="73" ref="AA243:AA248">S243-X243-Z243</f>
        <v>10.947499999999962</v>
      </c>
      <c r="AB243" s="301"/>
      <c r="AC243" s="323"/>
      <c r="AD243" s="573"/>
      <c r="AE243" s="581"/>
      <c r="AF243" s="582"/>
      <c r="AG243" s="266"/>
      <c r="AH243" s="266"/>
      <c r="AI243" s="266"/>
      <c r="AJ243" s="266"/>
      <c r="AK243" s="266"/>
      <c r="AL243" s="266"/>
      <c r="AM243" s="266"/>
      <c r="AN243" s="266"/>
      <c r="AO243" s="266"/>
      <c r="AP243" s="266"/>
      <c r="AQ243" s="266"/>
      <c r="AR243" s="266"/>
      <c r="AS243" s="266"/>
    </row>
    <row r="244" spans="1:45" ht="15" customHeight="1">
      <c r="A244" s="281"/>
      <c r="B244" s="449" t="s">
        <v>269</v>
      </c>
      <c r="C244" s="519" t="s">
        <v>4</v>
      </c>
      <c r="D244" s="553">
        <v>29</v>
      </c>
      <c r="E244" s="370"/>
      <c r="F244" s="449" t="s">
        <v>269</v>
      </c>
      <c r="G244" s="519" t="s">
        <v>4</v>
      </c>
      <c r="H244" s="487">
        <v>29</v>
      </c>
      <c r="I244" s="320"/>
      <c r="J244" s="276"/>
      <c r="K244" s="276"/>
      <c r="L244" s="276">
        <v>45</v>
      </c>
      <c r="M244" s="276"/>
      <c r="N244" s="300">
        <v>45</v>
      </c>
      <c r="O244" s="424">
        <f t="shared" si="68"/>
        <v>0</v>
      </c>
      <c r="P244" s="277">
        <f t="shared" si="69"/>
        <v>0</v>
      </c>
      <c r="Q244" s="277">
        <f t="shared" si="70"/>
        <v>1305</v>
      </c>
      <c r="R244" s="277">
        <f t="shared" si="71"/>
        <v>0</v>
      </c>
      <c r="S244" s="369">
        <f t="shared" si="72"/>
        <v>1305</v>
      </c>
      <c r="T244" s="294"/>
      <c r="U244" s="275"/>
      <c r="V244" s="275"/>
      <c r="W244" s="275"/>
      <c r="X244" s="296"/>
      <c r="Y244" s="275">
        <v>29</v>
      </c>
      <c r="Z244" s="275">
        <v>1305</v>
      </c>
      <c r="AA244" s="275">
        <f t="shared" si="73"/>
        <v>0</v>
      </c>
      <c r="AB244" s="330"/>
      <c r="AC244" s="330"/>
      <c r="AD244" s="581"/>
      <c r="AE244" s="581"/>
      <c r="AF244" s="582"/>
      <c r="AG244" s="266"/>
      <c r="AH244" s="266"/>
      <c r="AI244" s="266"/>
      <c r="AJ244" s="266"/>
      <c r="AK244" s="266"/>
      <c r="AL244" s="266"/>
      <c r="AM244" s="266"/>
      <c r="AN244" s="266"/>
      <c r="AO244" s="266"/>
      <c r="AP244" s="266"/>
      <c r="AQ244" s="266"/>
      <c r="AR244" s="266"/>
      <c r="AS244" s="266"/>
    </row>
    <row r="245" spans="1:45" ht="15" customHeight="1">
      <c r="A245" s="281"/>
      <c r="B245" s="447" t="s">
        <v>157</v>
      </c>
      <c r="C245" s="518" t="s">
        <v>4</v>
      </c>
      <c r="D245" s="552">
        <v>29</v>
      </c>
      <c r="E245" s="370"/>
      <c r="F245" s="447" t="s">
        <v>157</v>
      </c>
      <c r="G245" s="518" t="s">
        <v>4</v>
      </c>
      <c r="H245" s="486">
        <v>29</v>
      </c>
      <c r="I245" s="320"/>
      <c r="J245" s="276"/>
      <c r="K245" s="276"/>
      <c r="L245" s="276">
        <v>5</v>
      </c>
      <c r="M245" s="276"/>
      <c r="N245" s="300">
        <v>5</v>
      </c>
      <c r="O245" s="424">
        <f t="shared" si="68"/>
        <v>0</v>
      </c>
      <c r="P245" s="277">
        <f t="shared" si="69"/>
        <v>0</v>
      </c>
      <c r="Q245" s="277">
        <f t="shared" si="70"/>
        <v>145</v>
      </c>
      <c r="R245" s="277">
        <f t="shared" si="71"/>
        <v>0</v>
      </c>
      <c r="S245" s="369">
        <f t="shared" si="72"/>
        <v>145</v>
      </c>
      <c r="T245" s="294"/>
      <c r="U245" s="275"/>
      <c r="V245" s="275"/>
      <c r="W245" s="275"/>
      <c r="X245" s="296"/>
      <c r="Y245" s="275">
        <v>29</v>
      </c>
      <c r="Z245" s="275">
        <v>145</v>
      </c>
      <c r="AA245" s="275">
        <f t="shared" si="73"/>
        <v>0</v>
      </c>
      <c r="AB245" s="330"/>
      <c r="AC245" s="330"/>
      <c r="AD245" s="581"/>
      <c r="AE245" s="581"/>
      <c r="AF245" s="582"/>
      <c r="AG245" s="266"/>
      <c r="AH245" s="266"/>
      <c r="AI245" s="266"/>
      <c r="AJ245" s="266"/>
      <c r="AK245" s="266"/>
      <c r="AL245" s="266"/>
      <c r="AM245" s="266"/>
      <c r="AN245" s="266"/>
      <c r="AO245" s="266"/>
      <c r="AP245" s="266"/>
      <c r="AQ245" s="266"/>
      <c r="AR245" s="266"/>
      <c r="AS245" s="266"/>
    </row>
    <row r="246" spans="1:45" ht="15" customHeight="1">
      <c r="A246" s="281"/>
      <c r="B246" s="447" t="s">
        <v>158</v>
      </c>
      <c r="C246" s="518" t="s">
        <v>4</v>
      </c>
      <c r="D246" s="552">
        <v>29</v>
      </c>
      <c r="E246" s="370"/>
      <c r="F246" s="447" t="s">
        <v>158</v>
      </c>
      <c r="G246" s="518" t="s">
        <v>4</v>
      </c>
      <c r="H246" s="486">
        <v>29</v>
      </c>
      <c r="I246" s="320"/>
      <c r="J246" s="276"/>
      <c r="K246" s="276"/>
      <c r="L246" s="276">
        <v>1</v>
      </c>
      <c r="M246" s="276"/>
      <c r="N246" s="300">
        <v>1</v>
      </c>
      <c r="O246" s="424">
        <f t="shared" si="68"/>
        <v>0</v>
      </c>
      <c r="P246" s="277">
        <f t="shared" si="69"/>
        <v>0</v>
      </c>
      <c r="Q246" s="277">
        <f t="shared" si="70"/>
        <v>29</v>
      </c>
      <c r="R246" s="277">
        <f t="shared" si="71"/>
        <v>0</v>
      </c>
      <c r="S246" s="369">
        <f t="shared" si="72"/>
        <v>29</v>
      </c>
      <c r="T246" s="294"/>
      <c r="U246" s="275"/>
      <c r="V246" s="275"/>
      <c r="W246" s="275"/>
      <c r="X246" s="296"/>
      <c r="Y246" s="275">
        <v>29</v>
      </c>
      <c r="Z246" s="275">
        <v>29</v>
      </c>
      <c r="AA246" s="275">
        <f t="shared" si="73"/>
        <v>0</v>
      </c>
      <c r="AB246" s="330"/>
      <c r="AC246" s="330"/>
      <c r="AD246" s="581"/>
      <c r="AE246" s="581"/>
      <c r="AF246" s="582"/>
      <c r="AG246" s="266"/>
      <c r="AH246" s="266"/>
      <c r="AI246" s="266"/>
      <c r="AJ246" s="266"/>
      <c r="AK246" s="266"/>
      <c r="AL246" s="266"/>
      <c r="AM246" s="266"/>
      <c r="AN246" s="266"/>
      <c r="AO246" s="266"/>
      <c r="AP246" s="266"/>
      <c r="AQ246" s="266"/>
      <c r="AR246" s="266"/>
      <c r="AS246" s="266"/>
    </row>
    <row r="247" spans="1:45" ht="15" customHeight="1">
      <c r="A247" s="282"/>
      <c r="B247" s="451" t="s">
        <v>145</v>
      </c>
      <c r="C247" s="519" t="s">
        <v>144</v>
      </c>
      <c r="D247" s="553">
        <v>8</v>
      </c>
      <c r="E247" s="375"/>
      <c r="F247" s="451" t="s">
        <v>145</v>
      </c>
      <c r="G247" s="519" t="s">
        <v>144</v>
      </c>
      <c r="H247" s="487">
        <v>8</v>
      </c>
      <c r="I247" s="320"/>
      <c r="J247" s="276"/>
      <c r="K247" s="276"/>
      <c r="L247" s="276">
        <v>1.91</v>
      </c>
      <c r="M247" s="276"/>
      <c r="N247" s="300">
        <v>1.91</v>
      </c>
      <c r="O247" s="424">
        <f t="shared" si="68"/>
        <v>0</v>
      </c>
      <c r="P247" s="277">
        <f t="shared" si="69"/>
        <v>0</v>
      </c>
      <c r="Q247" s="277">
        <f t="shared" si="70"/>
        <v>15.28</v>
      </c>
      <c r="R247" s="277">
        <f t="shared" si="71"/>
        <v>0</v>
      </c>
      <c r="S247" s="369">
        <f t="shared" si="72"/>
        <v>15.28</v>
      </c>
      <c r="T247" s="294"/>
      <c r="U247" s="275"/>
      <c r="V247" s="275"/>
      <c r="W247" s="275"/>
      <c r="X247" s="296"/>
      <c r="Y247" s="275">
        <v>8</v>
      </c>
      <c r="Z247" s="275">
        <v>15.28</v>
      </c>
      <c r="AA247" s="275">
        <f t="shared" si="73"/>
        <v>0</v>
      </c>
      <c r="AB247" s="330"/>
      <c r="AC247" s="330"/>
      <c r="AD247" s="581"/>
      <c r="AE247" s="581"/>
      <c r="AF247" s="582"/>
      <c r="AG247" s="266"/>
      <c r="AH247" s="266"/>
      <c r="AI247" s="266"/>
      <c r="AJ247" s="266"/>
      <c r="AK247" s="266"/>
      <c r="AL247" s="266"/>
      <c r="AM247" s="266"/>
      <c r="AN247" s="266"/>
      <c r="AO247" s="266"/>
      <c r="AP247" s="266"/>
      <c r="AQ247" s="266"/>
      <c r="AR247" s="266"/>
      <c r="AS247" s="266"/>
    </row>
    <row r="248" spans="1:45" ht="29.25" customHeight="1" thickBot="1">
      <c r="A248" s="284" t="s">
        <v>105</v>
      </c>
      <c r="B248" s="475" t="s">
        <v>74</v>
      </c>
      <c r="C248" s="536" t="s">
        <v>4</v>
      </c>
      <c r="D248" s="567">
        <v>13.75</v>
      </c>
      <c r="E248" s="380" t="s">
        <v>105</v>
      </c>
      <c r="F248" s="475" t="s">
        <v>74</v>
      </c>
      <c r="G248" s="536" t="s">
        <v>4</v>
      </c>
      <c r="H248" s="497">
        <v>13.75</v>
      </c>
      <c r="I248" s="360">
        <v>1.75</v>
      </c>
      <c r="J248" s="287">
        <v>2.2</v>
      </c>
      <c r="K248" s="286">
        <v>3.85</v>
      </c>
      <c r="L248" s="286">
        <v>2.5</v>
      </c>
      <c r="M248" s="286">
        <v>0.2</v>
      </c>
      <c r="N248" s="355">
        <v>6.55</v>
      </c>
      <c r="O248" s="425">
        <f t="shared" si="68"/>
        <v>24.0625</v>
      </c>
      <c r="P248" s="287">
        <f t="shared" si="69"/>
        <v>52.9375</v>
      </c>
      <c r="Q248" s="287">
        <f t="shared" si="70"/>
        <v>34.375</v>
      </c>
      <c r="R248" s="287">
        <f t="shared" si="71"/>
        <v>2.75</v>
      </c>
      <c r="S248" s="378">
        <f t="shared" si="72"/>
        <v>90.0625</v>
      </c>
      <c r="T248" s="419">
        <v>7.09</v>
      </c>
      <c r="U248" s="285">
        <f>T248*K248</f>
        <v>27.2965</v>
      </c>
      <c r="V248" s="285">
        <f>T248*L248</f>
        <v>17.725</v>
      </c>
      <c r="W248" s="285">
        <f>T248*M248</f>
        <v>1.4180000000000001</v>
      </c>
      <c r="X248" s="326">
        <f>U248+V248+W248+0.01</f>
        <v>46.4495</v>
      </c>
      <c r="Y248" s="285">
        <v>6</v>
      </c>
      <c r="Z248" s="285">
        <v>39.3</v>
      </c>
      <c r="AA248" s="285">
        <f t="shared" si="73"/>
        <v>4.313000000000002</v>
      </c>
      <c r="AB248" s="327"/>
      <c r="AC248" s="330"/>
      <c r="AD248" s="581"/>
      <c r="AE248" s="581"/>
      <c r="AF248" s="582"/>
      <c r="AG248" s="266"/>
      <c r="AH248" s="266"/>
      <c r="AI248" s="266"/>
      <c r="AJ248" s="266"/>
      <c r="AK248" s="266"/>
      <c r="AL248" s="266"/>
      <c r="AM248" s="266"/>
      <c r="AN248" s="266"/>
      <c r="AO248" s="266"/>
      <c r="AP248" s="266"/>
      <c r="AQ248" s="266"/>
      <c r="AR248" s="266"/>
      <c r="AS248" s="266"/>
    </row>
    <row r="249" spans="1:45" ht="15" customHeight="1" thickBot="1">
      <c r="A249" s="646"/>
      <c r="B249" s="546" t="s">
        <v>37</v>
      </c>
      <c r="C249" s="599"/>
      <c r="D249" s="674"/>
      <c r="E249" s="681"/>
      <c r="F249" s="675"/>
      <c r="G249" s="599"/>
      <c r="H249" s="676"/>
      <c r="I249" s="361"/>
      <c r="J249" s="310"/>
      <c r="K249" s="310"/>
      <c r="L249" s="310"/>
      <c r="M249" s="310"/>
      <c r="N249" s="404"/>
      <c r="O249" s="426">
        <f>SUM(O243:O248)</f>
        <v>109.74431818181817</v>
      </c>
      <c r="P249" s="310">
        <f>SUM(P243:P248)</f>
        <v>241.4375</v>
      </c>
      <c r="Q249" s="310">
        <f>SUM(Q243:Q248)</f>
        <v>1528.655</v>
      </c>
      <c r="R249" s="310">
        <f>SUM(R243:R248)</f>
        <v>33.2</v>
      </c>
      <c r="S249" s="427">
        <f>SUM(S243:S248)</f>
        <v>1803.2925</v>
      </c>
      <c r="T249" s="316"/>
      <c r="U249" s="289">
        <f>SUM(U243:U248)</f>
        <v>206.37150000000003</v>
      </c>
      <c r="V249" s="289">
        <f>SUM(V243:V248)</f>
        <v>17.725</v>
      </c>
      <c r="W249" s="289">
        <f>SUM(W243:W248)</f>
        <v>30.3455</v>
      </c>
      <c r="X249" s="331">
        <f>SUM(X243:X248)</f>
        <v>254.45200000000003</v>
      </c>
      <c r="Y249" s="289">
        <v>0</v>
      </c>
      <c r="Z249" s="289">
        <v>1533.58</v>
      </c>
      <c r="AA249" s="289">
        <f>SUM(AA243:AA248)</f>
        <v>15.260499999999965</v>
      </c>
      <c r="AB249" s="278"/>
      <c r="AC249" s="330"/>
      <c r="AD249" s="581"/>
      <c r="AE249" s="581"/>
      <c r="AF249" s="582"/>
      <c r="AG249" s="266"/>
      <c r="AH249" s="266"/>
      <c r="AI249" s="266"/>
      <c r="AJ249" s="266"/>
      <c r="AK249" s="266"/>
      <c r="AL249" s="266"/>
      <c r="AM249" s="266"/>
      <c r="AN249" s="266"/>
      <c r="AO249" s="266"/>
      <c r="AP249" s="266"/>
      <c r="AQ249" s="266"/>
      <c r="AR249" s="266"/>
      <c r="AS249" s="266"/>
    </row>
    <row r="250" spans="1:45" ht="15" customHeight="1">
      <c r="A250" s="318" t="s">
        <v>81</v>
      </c>
      <c r="B250" s="474" t="s">
        <v>270</v>
      </c>
      <c r="C250" s="537" t="s">
        <v>4</v>
      </c>
      <c r="D250" s="560">
        <v>30.45</v>
      </c>
      <c r="E250" s="390" t="s">
        <v>601</v>
      </c>
      <c r="F250" s="474" t="s">
        <v>270</v>
      </c>
      <c r="G250" s="537" t="s">
        <v>4</v>
      </c>
      <c r="H250" s="499">
        <f>H253+H258</f>
        <v>21</v>
      </c>
      <c r="I250" s="362"/>
      <c r="J250" s="314"/>
      <c r="K250" s="314"/>
      <c r="L250" s="314"/>
      <c r="M250" s="314"/>
      <c r="N250" s="303"/>
      <c r="O250" s="428"/>
      <c r="P250" s="314"/>
      <c r="Q250" s="314"/>
      <c r="R250" s="314"/>
      <c r="S250" s="391"/>
      <c r="T250" s="294"/>
      <c r="U250" s="275"/>
      <c r="V250" s="275"/>
      <c r="W250" s="275"/>
      <c r="X250" s="296"/>
      <c r="Y250" s="275"/>
      <c r="Z250" s="275"/>
      <c r="AA250" s="275"/>
      <c r="AB250" s="278"/>
      <c r="AC250" s="330"/>
      <c r="AD250" s="581"/>
      <c r="AE250" s="581"/>
      <c r="AF250" s="582"/>
      <c r="AG250" s="266"/>
      <c r="AH250" s="266"/>
      <c r="AI250" s="266"/>
      <c r="AJ250" s="266"/>
      <c r="AK250" s="266"/>
      <c r="AL250" s="266"/>
      <c r="AM250" s="266"/>
      <c r="AN250" s="266"/>
      <c r="AO250" s="266"/>
      <c r="AP250" s="266"/>
      <c r="AQ250" s="266"/>
      <c r="AR250" s="266"/>
      <c r="AS250" s="266"/>
    </row>
    <row r="251" spans="1:45" ht="20.25" customHeight="1">
      <c r="A251" s="281" t="s">
        <v>103</v>
      </c>
      <c r="B251" s="437" t="s">
        <v>106</v>
      </c>
      <c r="C251" s="531" t="s">
        <v>8</v>
      </c>
      <c r="D251" s="561">
        <v>7</v>
      </c>
      <c r="E251" s="382" t="s">
        <v>511</v>
      </c>
      <c r="F251" s="437" t="s">
        <v>106</v>
      </c>
      <c r="G251" s="531" t="s">
        <v>8</v>
      </c>
      <c r="H251" s="507">
        <v>4</v>
      </c>
      <c r="I251" s="320">
        <v>7.2727272727272725</v>
      </c>
      <c r="J251" s="277">
        <v>2.2</v>
      </c>
      <c r="K251" s="276">
        <v>16</v>
      </c>
      <c r="L251" s="276">
        <v>2.5</v>
      </c>
      <c r="M251" s="276">
        <v>0.2</v>
      </c>
      <c r="N251" s="300">
        <v>18.7</v>
      </c>
      <c r="O251" s="424">
        <f aca="true" t="shared" si="74" ref="O251:O266">H251*I251</f>
        <v>29.09090909090909</v>
      </c>
      <c r="P251" s="277">
        <f aca="true" t="shared" si="75" ref="P251:P266">H251*K251</f>
        <v>64</v>
      </c>
      <c r="Q251" s="277">
        <f aca="true" t="shared" si="76" ref="Q251:Q266">H251*L251</f>
        <v>10</v>
      </c>
      <c r="R251" s="277">
        <f aca="true" t="shared" si="77" ref="R251:R266">H251*M251</f>
        <v>0.8</v>
      </c>
      <c r="S251" s="369">
        <f aca="true" t="shared" si="78" ref="S251:S266">P251+Q251+R251</f>
        <v>74.8</v>
      </c>
      <c r="T251" s="413"/>
      <c r="U251" s="275"/>
      <c r="V251" s="275"/>
      <c r="W251" s="275"/>
      <c r="X251" s="332"/>
      <c r="Y251" s="275">
        <v>7</v>
      </c>
      <c r="Z251" s="275">
        <v>130.9</v>
      </c>
      <c r="AA251" s="275">
        <f aca="true" t="shared" si="79" ref="AA251:AA266">S251-X251-Z251</f>
        <v>-56.10000000000001</v>
      </c>
      <c r="AB251" s="279" t="s">
        <v>444</v>
      </c>
      <c r="AC251" s="330"/>
      <c r="AD251" s="330"/>
      <c r="AE251" s="581"/>
      <c r="AF251" s="582"/>
      <c r="AG251" s="266"/>
      <c r="AH251" s="266"/>
      <c r="AI251" s="266"/>
      <c r="AJ251" s="266"/>
      <c r="AK251" s="266"/>
      <c r="AL251" s="266"/>
      <c r="AM251" s="266"/>
      <c r="AN251" s="266"/>
      <c r="AO251" s="266"/>
      <c r="AP251" s="266"/>
      <c r="AQ251" s="266"/>
      <c r="AR251" s="266"/>
      <c r="AS251" s="266"/>
    </row>
    <row r="252" spans="1:45" ht="15" customHeight="1">
      <c r="A252" s="281"/>
      <c r="B252" s="451" t="s">
        <v>271</v>
      </c>
      <c r="C252" s="531" t="s">
        <v>4</v>
      </c>
      <c r="D252" s="561">
        <v>9.45</v>
      </c>
      <c r="E252" s="370"/>
      <c r="F252" s="451" t="s">
        <v>271</v>
      </c>
      <c r="G252" s="531" t="s">
        <v>4</v>
      </c>
      <c r="H252" s="507">
        <v>0</v>
      </c>
      <c r="I252" s="343"/>
      <c r="J252" s="277"/>
      <c r="K252" s="277"/>
      <c r="L252" s="277">
        <v>95</v>
      </c>
      <c r="M252" s="277"/>
      <c r="N252" s="300">
        <v>95</v>
      </c>
      <c r="O252" s="424">
        <f t="shared" si="74"/>
        <v>0</v>
      </c>
      <c r="P252" s="277">
        <f t="shared" si="75"/>
        <v>0</v>
      </c>
      <c r="Q252" s="277">
        <f t="shared" si="76"/>
        <v>0</v>
      </c>
      <c r="R252" s="277">
        <f t="shared" si="77"/>
        <v>0</v>
      </c>
      <c r="S252" s="369">
        <f t="shared" si="78"/>
        <v>0</v>
      </c>
      <c r="T252" s="294"/>
      <c r="U252" s="275"/>
      <c r="V252" s="275"/>
      <c r="W252" s="275"/>
      <c r="X252" s="296"/>
      <c r="Y252" s="275">
        <v>0</v>
      </c>
      <c r="Z252" s="275">
        <v>0</v>
      </c>
      <c r="AA252" s="275">
        <f t="shared" si="79"/>
        <v>0</v>
      </c>
      <c r="AB252" s="279" t="s">
        <v>454</v>
      </c>
      <c r="AC252" s="330"/>
      <c r="AD252" s="581"/>
      <c r="AE252" s="581"/>
      <c r="AF252" s="582"/>
      <c r="AG252" s="266"/>
      <c r="AH252" s="266"/>
      <c r="AI252" s="266"/>
      <c r="AJ252" s="266"/>
      <c r="AK252" s="266"/>
      <c r="AL252" s="266"/>
      <c r="AM252" s="266"/>
      <c r="AN252" s="266"/>
      <c r="AO252" s="266"/>
      <c r="AP252" s="266"/>
      <c r="AQ252" s="266"/>
      <c r="AR252" s="266"/>
      <c r="AS252" s="266"/>
    </row>
    <row r="253" spans="1:45" ht="15" customHeight="1">
      <c r="A253" s="281"/>
      <c r="B253" s="451" t="s">
        <v>272</v>
      </c>
      <c r="C253" s="531" t="s">
        <v>4</v>
      </c>
      <c r="D253" s="561">
        <v>8.4</v>
      </c>
      <c r="E253" s="370"/>
      <c r="F253" s="451" t="s">
        <v>272</v>
      </c>
      <c r="G253" s="531" t="s">
        <v>4</v>
      </c>
      <c r="H253" s="502">
        <v>8.4</v>
      </c>
      <c r="I253" s="343"/>
      <c r="J253" s="277"/>
      <c r="K253" s="277"/>
      <c r="L253" s="277">
        <v>95</v>
      </c>
      <c r="M253" s="277"/>
      <c r="N253" s="300">
        <v>95</v>
      </c>
      <c r="O253" s="424">
        <f t="shared" si="74"/>
        <v>0</v>
      </c>
      <c r="P253" s="277">
        <f t="shared" si="75"/>
        <v>0</v>
      </c>
      <c r="Q253" s="277">
        <f t="shared" si="76"/>
        <v>798</v>
      </c>
      <c r="R253" s="277">
        <f t="shared" si="77"/>
        <v>0</v>
      </c>
      <c r="S253" s="369">
        <f t="shared" si="78"/>
        <v>798</v>
      </c>
      <c r="T253" s="413"/>
      <c r="U253" s="275"/>
      <c r="V253" s="275"/>
      <c r="W253" s="275"/>
      <c r="X253" s="332"/>
      <c r="Y253" s="275">
        <v>8.4</v>
      </c>
      <c r="Z253" s="275">
        <v>798</v>
      </c>
      <c r="AA253" s="275">
        <f t="shared" si="79"/>
        <v>0</v>
      </c>
      <c r="AB253" s="278"/>
      <c r="AC253" s="330"/>
      <c r="AD253" s="581"/>
      <c r="AE253" s="581"/>
      <c r="AF253" s="582"/>
      <c r="AG253" s="266"/>
      <c r="AH253" s="266"/>
      <c r="AI253" s="266"/>
      <c r="AJ253" s="266"/>
      <c r="AK253" s="266"/>
      <c r="AL253" s="266"/>
      <c r="AM253" s="266"/>
      <c r="AN253" s="266"/>
      <c r="AO253" s="266"/>
      <c r="AP253" s="266"/>
      <c r="AQ253" s="266"/>
      <c r="AR253" s="266"/>
      <c r="AS253" s="266"/>
    </row>
    <row r="254" spans="1:45" ht="15" customHeight="1">
      <c r="A254" s="281"/>
      <c r="B254" s="447" t="s">
        <v>157</v>
      </c>
      <c r="C254" s="518" t="s">
        <v>4</v>
      </c>
      <c r="D254" s="552">
        <v>17.85</v>
      </c>
      <c r="E254" s="370"/>
      <c r="F254" s="447" t="s">
        <v>157</v>
      </c>
      <c r="G254" s="518" t="s">
        <v>4</v>
      </c>
      <c r="H254" s="490">
        <f>H253</f>
        <v>8.4</v>
      </c>
      <c r="I254" s="343"/>
      <c r="J254" s="277"/>
      <c r="K254" s="277"/>
      <c r="L254" s="277">
        <v>2</v>
      </c>
      <c r="M254" s="277"/>
      <c r="N254" s="300">
        <v>2</v>
      </c>
      <c r="O254" s="424">
        <f t="shared" si="74"/>
        <v>0</v>
      </c>
      <c r="P254" s="277">
        <f t="shared" si="75"/>
        <v>0</v>
      </c>
      <c r="Q254" s="277">
        <f t="shared" si="76"/>
        <v>16.8</v>
      </c>
      <c r="R254" s="277">
        <f t="shared" si="77"/>
        <v>0</v>
      </c>
      <c r="S254" s="369">
        <f t="shared" si="78"/>
        <v>16.8</v>
      </c>
      <c r="T254" s="413"/>
      <c r="U254" s="275"/>
      <c r="V254" s="275"/>
      <c r="W254" s="275"/>
      <c r="X254" s="332"/>
      <c r="Y254" s="275">
        <v>17.85</v>
      </c>
      <c r="Z254" s="275">
        <v>35.7</v>
      </c>
      <c r="AA254" s="275">
        <f t="shared" si="79"/>
        <v>-18.900000000000002</v>
      </c>
      <c r="AB254" s="821" t="s">
        <v>444</v>
      </c>
      <c r="AC254" s="330"/>
      <c r="AD254" s="330"/>
      <c r="AE254" s="581"/>
      <c r="AF254" s="582"/>
      <c r="AG254" s="266"/>
      <c r="AH254" s="266"/>
      <c r="AI254" s="266"/>
      <c r="AJ254" s="266"/>
      <c r="AK254" s="266"/>
      <c r="AL254" s="266"/>
      <c r="AM254" s="266"/>
      <c r="AN254" s="266"/>
      <c r="AO254" s="266"/>
      <c r="AP254" s="266"/>
      <c r="AQ254" s="266"/>
      <c r="AR254" s="266"/>
      <c r="AS254" s="266"/>
    </row>
    <row r="255" spans="1:45" ht="15" customHeight="1">
      <c r="A255" s="281"/>
      <c r="B255" s="447" t="s">
        <v>158</v>
      </c>
      <c r="C255" s="518" t="s">
        <v>4</v>
      </c>
      <c r="D255" s="552">
        <v>17.85</v>
      </c>
      <c r="E255" s="370"/>
      <c r="F255" s="447" t="s">
        <v>158</v>
      </c>
      <c r="G255" s="518" t="s">
        <v>4</v>
      </c>
      <c r="H255" s="490">
        <f>H253</f>
        <v>8.4</v>
      </c>
      <c r="I255" s="343"/>
      <c r="J255" s="277"/>
      <c r="K255" s="277"/>
      <c r="L255" s="277">
        <v>1</v>
      </c>
      <c r="M255" s="277"/>
      <c r="N255" s="300">
        <v>1</v>
      </c>
      <c r="O255" s="424">
        <f t="shared" si="74"/>
        <v>0</v>
      </c>
      <c r="P255" s="277">
        <f t="shared" si="75"/>
        <v>0</v>
      </c>
      <c r="Q255" s="277">
        <f t="shared" si="76"/>
        <v>8.4</v>
      </c>
      <c r="R255" s="277">
        <f t="shared" si="77"/>
        <v>0</v>
      </c>
      <c r="S255" s="369">
        <f t="shared" si="78"/>
        <v>8.4</v>
      </c>
      <c r="T255" s="413"/>
      <c r="U255" s="275"/>
      <c r="V255" s="275"/>
      <c r="W255" s="275"/>
      <c r="X255" s="332"/>
      <c r="Y255" s="275">
        <v>17.85</v>
      </c>
      <c r="Z255" s="275">
        <v>17.85</v>
      </c>
      <c r="AA255" s="275">
        <f t="shared" si="79"/>
        <v>-9.450000000000001</v>
      </c>
      <c r="AB255" s="821"/>
      <c r="AC255" s="330"/>
      <c r="AD255" s="330"/>
      <c r="AE255" s="581"/>
      <c r="AF255" s="582"/>
      <c r="AG255" s="266"/>
      <c r="AH255" s="266"/>
      <c r="AI255" s="266"/>
      <c r="AJ255" s="266"/>
      <c r="AK255" s="266"/>
      <c r="AL255" s="266"/>
      <c r="AM255" s="266"/>
      <c r="AN255" s="266"/>
      <c r="AO255" s="266"/>
      <c r="AP255" s="266"/>
      <c r="AQ255" s="266"/>
      <c r="AR255" s="266"/>
      <c r="AS255" s="266"/>
    </row>
    <row r="256" spans="1:45" ht="15" customHeight="1">
      <c r="A256" s="282"/>
      <c r="B256" s="451" t="s">
        <v>145</v>
      </c>
      <c r="C256" s="519" t="s">
        <v>144</v>
      </c>
      <c r="D256" s="553">
        <v>5.355</v>
      </c>
      <c r="E256" s="375"/>
      <c r="F256" s="451" t="s">
        <v>145</v>
      </c>
      <c r="G256" s="519" t="s">
        <v>144</v>
      </c>
      <c r="H256" s="489">
        <f>H251*0.7657</f>
        <v>3.0628</v>
      </c>
      <c r="I256" s="343"/>
      <c r="J256" s="277"/>
      <c r="K256" s="277"/>
      <c r="L256" s="277">
        <v>1.91</v>
      </c>
      <c r="M256" s="277"/>
      <c r="N256" s="300">
        <v>1.91</v>
      </c>
      <c r="O256" s="424">
        <f t="shared" si="74"/>
        <v>0</v>
      </c>
      <c r="P256" s="277">
        <f t="shared" si="75"/>
        <v>0</v>
      </c>
      <c r="Q256" s="277">
        <f t="shared" si="76"/>
        <v>5.849948</v>
      </c>
      <c r="R256" s="277">
        <f t="shared" si="77"/>
        <v>0</v>
      </c>
      <c r="S256" s="369">
        <f t="shared" si="78"/>
        <v>5.849948</v>
      </c>
      <c r="T256" s="413"/>
      <c r="U256" s="275"/>
      <c r="V256" s="275"/>
      <c r="W256" s="275"/>
      <c r="X256" s="332"/>
      <c r="Y256" s="275">
        <v>8.04</v>
      </c>
      <c r="Z256" s="275">
        <v>9.44</v>
      </c>
      <c r="AA256" s="275">
        <f t="shared" si="79"/>
        <v>-3.590051999999999</v>
      </c>
      <c r="AB256" s="822"/>
      <c r="AC256" s="330"/>
      <c r="AD256" s="330"/>
      <c r="AE256" s="581"/>
      <c r="AF256" s="582"/>
      <c r="AG256" s="266"/>
      <c r="AH256" s="266"/>
      <c r="AI256" s="266"/>
      <c r="AJ256" s="266"/>
      <c r="AK256" s="266"/>
      <c r="AL256" s="266"/>
      <c r="AM256" s="266"/>
      <c r="AN256" s="266"/>
      <c r="AO256" s="266"/>
      <c r="AP256" s="266"/>
      <c r="AQ256" s="266"/>
      <c r="AR256" s="266"/>
      <c r="AS256" s="266"/>
    </row>
    <row r="257" spans="1:45" ht="15" customHeight="1">
      <c r="A257" s="282" t="s">
        <v>104</v>
      </c>
      <c r="B257" s="437" t="s">
        <v>273</v>
      </c>
      <c r="C257" s="519" t="s">
        <v>8</v>
      </c>
      <c r="D257" s="553">
        <v>4</v>
      </c>
      <c r="E257" s="383" t="s">
        <v>512</v>
      </c>
      <c r="F257" s="476" t="s">
        <v>106</v>
      </c>
      <c r="G257" s="531" t="s">
        <v>8</v>
      </c>
      <c r="H257" s="502">
        <v>4</v>
      </c>
      <c r="I257" s="320">
        <v>7.2727272727272725</v>
      </c>
      <c r="J257" s="277">
        <v>2.2</v>
      </c>
      <c r="K257" s="276">
        <v>16</v>
      </c>
      <c r="L257" s="276"/>
      <c r="M257" s="276">
        <v>0.2</v>
      </c>
      <c r="N257" s="300">
        <v>16.2</v>
      </c>
      <c r="O257" s="424">
        <f t="shared" si="74"/>
        <v>29.09090909090909</v>
      </c>
      <c r="P257" s="277">
        <f t="shared" si="75"/>
        <v>64</v>
      </c>
      <c r="Q257" s="277">
        <f t="shared" si="76"/>
        <v>0</v>
      </c>
      <c r="R257" s="277">
        <f t="shared" si="77"/>
        <v>0.8</v>
      </c>
      <c r="S257" s="369">
        <f t="shared" si="78"/>
        <v>64.8</v>
      </c>
      <c r="T257" s="294"/>
      <c r="U257" s="275"/>
      <c r="V257" s="275"/>
      <c r="W257" s="275"/>
      <c r="X257" s="296"/>
      <c r="Y257" s="275">
        <v>0</v>
      </c>
      <c r="Z257" s="275">
        <v>0</v>
      </c>
      <c r="AA257" s="275">
        <f t="shared" si="79"/>
        <v>64.8</v>
      </c>
      <c r="AB257" s="813" t="s">
        <v>445</v>
      </c>
      <c r="AC257" s="584"/>
      <c r="AD257" s="581"/>
      <c r="AE257" s="581"/>
      <c r="AF257" s="582"/>
      <c r="AG257" s="266"/>
      <c r="AH257" s="266"/>
      <c r="AI257" s="266"/>
      <c r="AJ257" s="266"/>
      <c r="AK257" s="266"/>
      <c r="AL257" s="266"/>
      <c r="AM257" s="266"/>
      <c r="AN257" s="266"/>
      <c r="AO257" s="266"/>
      <c r="AP257" s="266"/>
      <c r="AQ257" s="266"/>
      <c r="AR257" s="266"/>
      <c r="AS257" s="266"/>
    </row>
    <row r="258" spans="1:45" ht="15" customHeight="1">
      <c r="A258" s="281"/>
      <c r="B258" s="451" t="s">
        <v>274</v>
      </c>
      <c r="C258" s="531" t="s">
        <v>4</v>
      </c>
      <c r="D258" s="552">
        <v>12.6</v>
      </c>
      <c r="E258" s="370"/>
      <c r="F258" s="451" t="s">
        <v>271</v>
      </c>
      <c r="G258" s="531" t="s">
        <v>4</v>
      </c>
      <c r="H258" s="502">
        <f>1.5*2.1*4</f>
        <v>12.600000000000001</v>
      </c>
      <c r="I258" s="343"/>
      <c r="J258" s="277"/>
      <c r="K258" s="277"/>
      <c r="L258" s="277">
        <v>95</v>
      </c>
      <c r="M258" s="277"/>
      <c r="N258" s="300">
        <v>95</v>
      </c>
      <c r="O258" s="424">
        <f t="shared" si="74"/>
        <v>0</v>
      </c>
      <c r="P258" s="277">
        <f t="shared" si="75"/>
        <v>0</v>
      </c>
      <c r="Q258" s="277">
        <f t="shared" si="76"/>
        <v>1197.0000000000002</v>
      </c>
      <c r="R258" s="277">
        <f t="shared" si="77"/>
        <v>0</v>
      </c>
      <c r="S258" s="369">
        <f t="shared" si="78"/>
        <v>1197.0000000000002</v>
      </c>
      <c r="T258" s="294"/>
      <c r="U258" s="275"/>
      <c r="V258" s="275"/>
      <c r="W258" s="275"/>
      <c r="X258" s="296"/>
      <c r="Y258" s="275">
        <v>12.6</v>
      </c>
      <c r="Z258" s="275">
        <v>1197</v>
      </c>
      <c r="AA258" s="275">
        <f t="shared" si="79"/>
        <v>0</v>
      </c>
      <c r="AB258" s="814"/>
      <c r="AC258" s="584"/>
      <c r="AD258" s="581"/>
      <c r="AE258" s="581"/>
      <c r="AF258" s="582"/>
      <c r="AG258" s="266"/>
      <c r="AH258" s="266"/>
      <c r="AI258" s="266"/>
      <c r="AJ258" s="266"/>
      <c r="AK258" s="266"/>
      <c r="AL258" s="266"/>
      <c r="AM258" s="266"/>
      <c r="AN258" s="266"/>
      <c r="AO258" s="266"/>
      <c r="AP258" s="266"/>
      <c r="AQ258" s="266"/>
      <c r="AR258" s="266"/>
      <c r="AS258" s="266"/>
    </row>
    <row r="259" spans="1:45" ht="15" customHeight="1">
      <c r="A259" s="281"/>
      <c r="B259" s="447" t="s">
        <v>157</v>
      </c>
      <c r="C259" s="518" t="s">
        <v>4</v>
      </c>
      <c r="D259" s="552">
        <v>12.6</v>
      </c>
      <c r="E259" s="370"/>
      <c r="F259" s="447" t="s">
        <v>157</v>
      </c>
      <c r="G259" s="518" t="s">
        <v>4</v>
      </c>
      <c r="H259" s="486">
        <v>12.6</v>
      </c>
      <c r="I259" s="343"/>
      <c r="J259" s="277"/>
      <c r="K259" s="277"/>
      <c r="L259" s="277">
        <v>2</v>
      </c>
      <c r="M259" s="277"/>
      <c r="N259" s="300">
        <v>2</v>
      </c>
      <c r="O259" s="424">
        <f t="shared" si="74"/>
        <v>0</v>
      </c>
      <c r="P259" s="277">
        <f t="shared" si="75"/>
        <v>0</v>
      </c>
      <c r="Q259" s="277">
        <f t="shared" si="76"/>
        <v>25.2</v>
      </c>
      <c r="R259" s="277">
        <f t="shared" si="77"/>
        <v>0</v>
      </c>
      <c r="S259" s="369">
        <f t="shared" si="78"/>
        <v>25.2</v>
      </c>
      <c r="T259" s="294"/>
      <c r="U259" s="275"/>
      <c r="V259" s="275"/>
      <c r="W259" s="275"/>
      <c r="X259" s="296"/>
      <c r="Y259" s="275">
        <v>0</v>
      </c>
      <c r="Z259" s="275">
        <v>0</v>
      </c>
      <c r="AA259" s="275">
        <f t="shared" si="79"/>
        <v>25.2</v>
      </c>
      <c r="AB259" s="814"/>
      <c r="AC259" s="584"/>
      <c r="AD259" s="581"/>
      <c r="AE259" s="581"/>
      <c r="AF259" s="582"/>
      <c r="AG259" s="266"/>
      <c r="AH259" s="266"/>
      <c r="AI259" s="266"/>
      <c r="AJ259" s="266"/>
      <c r="AK259" s="266"/>
      <c r="AL259" s="266"/>
      <c r="AM259" s="266"/>
      <c r="AN259" s="266"/>
      <c r="AO259" s="266"/>
      <c r="AP259" s="266"/>
      <c r="AQ259" s="266"/>
      <c r="AR259" s="266"/>
      <c r="AS259" s="266"/>
    </row>
    <row r="260" spans="1:45" ht="15" customHeight="1">
      <c r="A260" s="281"/>
      <c r="B260" s="447" t="s">
        <v>158</v>
      </c>
      <c r="C260" s="518" t="s">
        <v>4</v>
      </c>
      <c r="D260" s="552">
        <v>12.6</v>
      </c>
      <c r="E260" s="370"/>
      <c r="F260" s="447" t="s">
        <v>158</v>
      </c>
      <c r="G260" s="518" t="s">
        <v>4</v>
      </c>
      <c r="H260" s="486">
        <v>12.6</v>
      </c>
      <c r="I260" s="343"/>
      <c r="J260" s="277"/>
      <c r="K260" s="277"/>
      <c r="L260" s="277">
        <v>1</v>
      </c>
      <c r="M260" s="277"/>
      <c r="N260" s="300">
        <v>1</v>
      </c>
      <c r="O260" s="424">
        <f t="shared" si="74"/>
        <v>0</v>
      </c>
      <c r="P260" s="277">
        <f t="shared" si="75"/>
        <v>0</v>
      </c>
      <c r="Q260" s="277">
        <f t="shared" si="76"/>
        <v>12.6</v>
      </c>
      <c r="R260" s="277">
        <f t="shared" si="77"/>
        <v>0</v>
      </c>
      <c r="S260" s="369">
        <f t="shared" si="78"/>
        <v>12.6</v>
      </c>
      <c r="T260" s="294"/>
      <c r="U260" s="275"/>
      <c r="V260" s="275"/>
      <c r="W260" s="275"/>
      <c r="X260" s="296"/>
      <c r="Y260" s="275">
        <v>0</v>
      </c>
      <c r="Z260" s="275">
        <v>0</v>
      </c>
      <c r="AA260" s="275">
        <f t="shared" si="79"/>
        <v>12.6</v>
      </c>
      <c r="AB260" s="814"/>
      <c r="AC260" s="584"/>
      <c r="AD260" s="581"/>
      <c r="AE260" s="581"/>
      <c r="AF260" s="582"/>
      <c r="AG260" s="266"/>
      <c r="AH260" s="266"/>
      <c r="AI260" s="266"/>
      <c r="AJ260" s="266"/>
      <c r="AK260" s="266"/>
      <c r="AL260" s="266"/>
      <c r="AM260" s="266"/>
      <c r="AN260" s="266"/>
      <c r="AO260" s="266"/>
      <c r="AP260" s="266"/>
      <c r="AQ260" s="266"/>
      <c r="AR260" s="266"/>
      <c r="AS260" s="266"/>
    </row>
    <row r="261" spans="1:45" ht="15" customHeight="1">
      <c r="A261" s="282"/>
      <c r="B261" s="451" t="s">
        <v>145</v>
      </c>
      <c r="C261" s="519" t="s">
        <v>144</v>
      </c>
      <c r="D261" s="553">
        <v>1.6065</v>
      </c>
      <c r="E261" s="375"/>
      <c r="F261" s="451" t="s">
        <v>145</v>
      </c>
      <c r="G261" s="519" t="s">
        <v>144</v>
      </c>
      <c r="H261" s="487">
        <v>1.61</v>
      </c>
      <c r="I261" s="343"/>
      <c r="J261" s="277"/>
      <c r="K261" s="277"/>
      <c r="L261" s="277">
        <v>1.91</v>
      </c>
      <c r="M261" s="277"/>
      <c r="N261" s="300">
        <v>1.91</v>
      </c>
      <c r="O261" s="424">
        <f t="shared" si="74"/>
        <v>0</v>
      </c>
      <c r="P261" s="277">
        <f t="shared" si="75"/>
        <v>0</v>
      </c>
      <c r="Q261" s="277">
        <f>H261*L261-0.01</f>
        <v>3.0651</v>
      </c>
      <c r="R261" s="277">
        <f t="shared" si="77"/>
        <v>0</v>
      </c>
      <c r="S261" s="369">
        <f t="shared" si="78"/>
        <v>3.0651</v>
      </c>
      <c r="T261" s="294"/>
      <c r="U261" s="275"/>
      <c r="V261" s="275"/>
      <c r="W261" s="275"/>
      <c r="X261" s="296"/>
      <c r="Y261" s="275">
        <v>0</v>
      </c>
      <c r="Z261" s="275">
        <v>0</v>
      </c>
      <c r="AA261" s="275">
        <f t="shared" si="79"/>
        <v>3.0651</v>
      </c>
      <c r="AB261" s="814"/>
      <c r="AC261" s="584"/>
      <c r="AD261" s="581"/>
      <c r="AE261" s="581"/>
      <c r="AF261" s="582"/>
      <c r="AG261" s="266"/>
      <c r="AH261" s="266"/>
      <c r="AI261" s="266"/>
      <c r="AJ261" s="266"/>
      <c r="AK261" s="266"/>
      <c r="AL261" s="266"/>
      <c r="AM261" s="266"/>
      <c r="AN261" s="266"/>
      <c r="AO261" s="266"/>
      <c r="AP261" s="266"/>
      <c r="AQ261" s="266"/>
      <c r="AR261" s="266"/>
      <c r="AS261" s="266"/>
    </row>
    <row r="262" spans="1:45" ht="27.75" customHeight="1">
      <c r="A262" s="281" t="s">
        <v>161</v>
      </c>
      <c r="B262" s="437" t="s">
        <v>80</v>
      </c>
      <c r="C262" s="520" t="s">
        <v>4</v>
      </c>
      <c r="D262" s="553">
        <v>11</v>
      </c>
      <c r="E262" s="370" t="s">
        <v>161</v>
      </c>
      <c r="F262" s="437" t="s">
        <v>80</v>
      </c>
      <c r="G262" s="520" t="s">
        <v>4</v>
      </c>
      <c r="H262" s="487">
        <v>11</v>
      </c>
      <c r="I262" s="320">
        <v>1.75</v>
      </c>
      <c r="J262" s="277">
        <v>2.2</v>
      </c>
      <c r="K262" s="276">
        <v>3.85</v>
      </c>
      <c r="L262" s="276">
        <v>2.5</v>
      </c>
      <c r="M262" s="276">
        <v>0.2</v>
      </c>
      <c r="N262" s="300">
        <v>6.55</v>
      </c>
      <c r="O262" s="424">
        <f t="shared" si="74"/>
        <v>19.25</v>
      </c>
      <c r="P262" s="277">
        <f t="shared" si="75"/>
        <v>42.35</v>
      </c>
      <c r="Q262" s="277">
        <f t="shared" si="76"/>
        <v>27.5</v>
      </c>
      <c r="R262" s="277">
        <f t="shared" si="77"/>
        <v>2.2</v>
      </c>
      <c r="S262" s="369">
        <f t="shared" si="78"/>
        <v>72.05</v>
      </c>
      <c r="T262" s="294"/>
      <c r="U262" s="275"/>
      <c r="V262" s="275"/>
      <c r="W262" s="275"/>
      <c r="X262" s="296"/>
      <c r="Y262" s="275">
        <v>0</v>
      </c>
      <c r="Z262" s="275">
        <v>0</v>
      </c>
      <c r="AA262" s="275">
        <f t="shared" si="79"/>
        <v>72.05</v>
      </c>
      <c r="AB262" s="814"/>
      <c r="AC262" s="584"/>
      <c r="AD262" s="581"/>
      <c r="AE262" s="581"/>
      <c r="AF262" s="582"/>
      <c r="AG262" s="266"/>
      <c r="AH262" s="266"/>
      <c r="AI262" s="266"/>
      <c r="AJ262" s="266"/>
      <c r="AK262" s="266"/>
      <c r="AL262" s="266"/>
      <c r="AM262" s="266"/>
      <c r="AN262" s="266"/>
      <c r="AO262" s="266"/>
      <c r="AP262" s="266"/>
      <c r="AQ262" s="266"/>
      <c r="AR262" s="266"/>
      <c r="AS262" s="266"/>
    </row>
    <row r="263" spans="1:45" ht="14.25" customHeight="1">
      <c r="A263" s="281" t="s">
        <v>276</v>
      </c>
      <c r="B263" s="439" t="s">
        <v>275</v>
      </c>
      <c r="C263" s="531" t="s">
        <v>10</v>
      </c>
      <c r="D263" s="561">
        <v>3</v>
      </c>
      <c r="E263" s="382" t="s">
        <v>486</v>
      </c>
      <c r="F263" s="439" t="s">
        <v>275</v>
      </c>
      <c r="G263" s="531" t="s">
        <v>10</v>
      </c>
      <c r="H263" s="507">
        <v>4</v>
      </c>
      <c r="I263" s="320">
        <v>1.5909090909090908</v>
      </c>
      <c r="J263" s="277">
        <v>2.2</v>
      </c>
      <c r="K263" s="277">
        <v>3.5</v>
      </c>
      <c r="L263" s="277">
        <v>25</v>
      </c>
      <c r="M263" s="277">
        <v>0.2</v>
      </c>
      <c r="N263" s="300">
        <v>28.7</v>
      </c>
      <c r="O263" s="424">
        <f t="shared" si="74"/>
        <v>6.363636363636363</v>
      </c>
      <c r="P263" s="277">
        <f t="shared" si="75"/>
        <v>14</v>
      </c>
      <c r="Q263" s="277">
        <f t="shared" si="76"/>
        <v>100</v>
      </c>
      <c r="R263" s="277">
        <f t="shared" si="77"/>
        <v>0.8</v>
      </c>
      <c r="S263" s="369">
        <f t="shared" si="78"/>
        <v>114.8</v>
      </c>
      <c r="T263" s="294"/>
      <c r="U263" s="275"/>
      <c r="V263" s="275"/>
      <c r="W263" s="275"/>
      <c r="X263" s="296"/>
      <c r="Y263" s="275">
        <v>0</v>
      </c>
      <c r="Z263" s="275">
        <v>0</v>
      </c>
      <c r="AA263" s="275">
        <f t="shared" si="79"/>
        <v>114.8</v>
      </c>
      <c r="AB263" s="298" t="s">
        <v>453</v>
      </c>
      <c r="AC263" s="584"/>
      <c r="AD263" s="581"/>
      <c r="AE263" s="581"/>
      <c r="AF263" s="582"/>
      <c r="AG263" s="266"/>
      <c r="AH263" s="266"/>
      <c r="AI263" s="266"/>
      <c r="AJ263" s="266"/>
      <c r="AK263" s="266"/>
      <c r="AL263" s="266"/>
      <c r="AM263" s="266"/>
      <c r="AN263" s="266"/>
      <c r="AO263" s="266"/>
      <c r="AP263" s="266"/>
      <c r="AQ263" s="266"/>
      <c r="AR263" s="266"/>
      <c r="AS263" s="266"/>
    </row>
    <row r="264" spans="1:45" ht="15" customHeight="1">
      <c r="A264" s="281" t="s">
        <v>277</v>
      </c>
      <c r="B264" s="477" t="s">
        <v>278</v>
      </c>
      <c r="C264" s="531" t="s">
        <v>10</v>
      </c>
      <c r="D264" s="561">
        <v>3</v>
      </c>
      <c r="E264" s="382" t="s">
        <v>602</v>
      </c>
      <c r="F264" s="477" t="s">
        <v>278</v>
      </c>
      <c r="G264" s="531" t="s">
        <v>10</v>
      </c>
      <c r="H264" s="507">
        <v>4</v>
      </c>
      <c r="I264" s="320">
        <v>1.5909090909090908</v>
      </c>
      <c r="J264" s="277">
        <v>2.2</v>
      </c>
      <c r="K264" s="277">
        <v>3.5</v>
      </c>
      <c r="L264" s="277">
        <v>15</v>
      </c>
      <c r="M264" s="277">
        <v>0.2</v>
      </c>
      <c r="N264" s="300">
        <v>18.7</v>
      </c>
      <c r="O264" s="424">
        <f t="shared" si="74"/>
        <v>6.363636363636363</v>
      </c>
      <c r="P264" s="277">
        <f t="shared" si="75"/>
        <v>14</v>
      </c>
      <c r="Q264" s="277">
        <f t="shared" si="76"/>
        <v>60</v>
      </c>
      <c r="R264" s="277">
        <f t="shared" si="77"/>
        <v>0.8</v>
      </c>
      <c r="S264" s="369">
        <f t="shared" si="78"/>
        <v>74.8</v>
      </c>
      <c r="T264" s="294"/>
      <c r="U264" s="275"/>
      <c r="V264" s="275"/>
      <c r="W264" s="275"/>
      <c r="X264" s="296"/>
      <c r="Y264" s="275">
        <v>0</v>
      </c>
      <c r="Z264" s="275">
        <v>0</v>
      </c>
      <c r="AA264" s="275">
        <f t="shared" si="79"/>
        <v>74.8</v>
      </c>
      <c r="AB264" s="299"/>
      <c r="AC264" s="584"/>
      <c r="AD264" s="581"/>
      <c r="AE264" s="581"/>
      <c r="AF264" s="582"/>
      <c r="AG264" s="266"/>
      <c r="AH264" s="266"/>
      <c r="AI264" s="266"/>
      <c r="AJ264" s="266"/>
      <c r="AK264" s="266"/>
      <c r="AL264" s="266"/>
      <c r="AM264" s="266"/>
      <c r="AN264" s="266"/>
      <c r="AO264" s="266"/>
      <c r="AP264" s="266"/>
      <c r="AQ264" s="266"/>
      <c r="AR264" s="266"/>
      <c r="AS264" s="266"/>
    </row>
    <row r="265" spans="1:45" ht="15.75" customHeight="1">
      <c r="A265" s="281" t="s">
        <v>279</v>
      </c>
      <c r="B265" s="441" t="s">
        <v>280</v>
      </c>
      <c r="C265" s="531" t="s">
        <v>10</v>
      </c>
      <c r="D265" s="561">
        <v>3</v>
      </c>
      <c r="E265" s="382" t="s">
        <v>603</v>
      </c>
      <c r="F265" s="441" t="s">
        <v>280</v>
      </c>
      <c r="G265" s="531" t="s">
        <v>10</v>
      </c>
      <c r="H265" s="507">
        <v>4</v>
      </c>
      <c r="I265" s="320">
        <v>1.5909090909090908</v>
      </c>
      <c r="J265" s="277">
        <v>2.2</v>
      </c>
      <c r="K265" s="277">
        <v>3.5</v>
      </c>
      <c r="L265" s="277">
        <v>15</v>
      </c>
      <c r="M265" s="277">
        <v>0.2</v>
      </c>
      <c r="N265" s="300">
        <v>18.7</v>
      </c>
      <c r="O265" s="424">
        <f t="shared" si="74"/>
        <v>6.363636363636363</v>
      </c>
      <c r="P265" s="277">
        <f t="shared" si="75"/>
        <v>14</v>
      </c>
      <c r="Q265" s="277">
        <f t="shared" si="76"/>
        <v>60</v>
      </c>
      <c r="R265" s="277">
        <f t="shared" si="77"/>
        <v>0.8</v>
      </c>
      <c r="S265" s="369">
        <f t="shared" si="78"/>
        <v>74.8</v>
      </c>
      <c r="T265" s="413"/>
      <c r="U265" s="275"/>
      <c r="V265" s="275"/>
      <c r="W265" s="275"/>
      <c r="X265" s="332"/>
      <c r="Y265" s="275">
        <v>3</v>
      </c>
      <c r="Z265" s="275">
        <v>56.1</v>
      </c>
      <c r="AA265" s="275">
        <f t="shared" si="79"/>
        <v>18.699999999999996</v>
      </c>
      <c r="AB265" s="279" t="s">
        <v>446</v>
      </c>
      <c r="AC265" s="330"/>
      <c r="AD265" s="581"/>
      <c r="AE265" s="581"/>
      <c r="AF265" s="582"/>
      <c r="AG265" s="266"/>
      <c r="AH265" s="266"/>
      <c r="AI265" s="266"/>
      <c r="AJ265" s="266"/>
      <c r="AK265" s="266"/>
      <c r="AL265" s="266"/>
      <c r="AM265" s="266"/>
      <c r="AN265" s="266"/>
      <c r="AO265" s="266"/>
      <c r="AP265" s="266"/>
      <c r="AQ265" s="266"/>
      <c r="AR265" s="266"/>
      <c r="AS265" s="266"/>
    </row>
    <row r="266" spans="1:45" ht="17.25" customHeight="1" thickBot="1">
      <c r="A266" s="284" t="s">
        <v>281</v>
      </c>
      <c r="B266" s="475" t="s">
        <v>13</v>
      </c>
      <c r="C266" s="538" t="s">
        <v>3</v>
      </c>
      <c r="D266" s="567">
        <v>92.4</v>
      </c>
      <c r="E266" s="395" t="s">
        <v>281</v>
      </c>
      <c r="F266" s="475" t="s">
        <v>13</v>
      </c>
      <c r="G266" s="538" t="s">
        <v>3</v>
      </c>
      <c r="H266" s="511">
        <v>52.8</v>
      </c>
      <c r="I266" s="360">
        <v>0.6818181818181818</v>
      </c>
      <c r="J266" s="287">
        <v>2.2</v>
      </c>
      <c r="K266" s="286">
        <v>1.5</v>
      </c>
      <c r="L266" s="286">
        <v>1.85</v>
      </c>
      <c r="M266" s="286">
        <v>0.1</v>
      </c>
      <c r="N266" s="355">
        <v>3.45</v>
      </c>
      <c r="O266" s="425">
        <f t="shared" si="74"/>
        <v>35.99999999999999</v>
      </c>
      <c r="P266" s="287">
        <f t="shared" si="75"/>
        <v>79.19999999999999</v>
      </c>
      <c r="Q266" s="287">
        <f t="shared" si="76"/>
        <v>97.67999999999999</v>
      </c>
      <c r="R266" s="287">
        <f t="shared" si="77"/>
        <v>5.28</v>
      </c>
      <c r="S266" s="378">
        <f t="shared" si="78"/>
        <v>182.16</v>
      </c>
      <c r="T266" s="358"/>
      <c r="U266" s="285"/>
      <c r="V266" s="285"/>
      <c r="W266" s="285"/>
      <c r="X266" s="326"/>
      <c r="Y266" s="285">
        <v>0</v>
      </c>
      <c r="Z266" s="285">
        <v>0</v>
      </c>
      <c r="AA266" s="285">
        <f t="shared" si="79"/>
        <v>182.16</v>
      </c>
      <c r="AB266" s="279" t="s">
        <v>447</v>
      </c>
      <c r="AC266" s="330"/>
      <c r="AD266" s="330"/>
      <c r="AE266" s="581"/>
      <c r="AF266" s="582"/>
      <c r="AG266" s="266"/>
      <c r="AH266" s="266"/>
      <c r="AI266" s="266"/>
      <c r="AJ266" s="266"/>
      <c r="AK266" s="266"/>
      <c r="AL266" s="266"/>
      <c r="AM266" s="266"/>
      <c r="AN266" s="266"/>
      <c r="AO266" s="266"/>
      <c r="AP266" s="266"/>
      <c r="AQ266" s="266"/>
      <c r="AR266" s="266"/>
      <c r="AS266" s="266"/>
    </row>
    <row r="267" spans="1:45" ht="15" customHeight="1" thickBot="1">
      <c r="A267" s="668"/>
      <c r="B267" s="546" t="s">
        <v>37</v>
      </c>
      <c r="C267" s="599"/>
      <c r="D267" s="674"/>
      <c r="E267" s="681"/>
      <c r="F267" s="675"/>
      <c r="G267" s="599"/>
      <c r="H267" s="676"/>
      <c r="I267" s="361"/>
      <c r="J267" s="310"/>
      <c r="K267" s="310"/>
      <c r="L267" s="310"/>
      <c r="M267" s="310"/>
      <c r="N267" s="404"/>
      <c r="O267" s="426">
        <f>SUM(O251:O266)</f>
        <v>132.52272727272725</v>
      </c>
      <c r="P267" s="310">
        <f>SUM(P251:P266)</f>
        <v>291.54999999999995</v>
      </c>
      <c r="Q267" s="310">
        <f>SUM(Q251:Q266)</f>
        <v>2422.0950479999997</v>
      </c>
      <c r="R267" s="310">
        <f>SUM(R251:R266)</f>
        <v>11.48</v>
      </c>
      <c r="S267" s="427">
        <f>SUM(S251:S266)</f>
        <v>2725.1250480000003</v>
      </c>
      <c r="T267" s="362">
        <f aca="true" t="shared" si="80" ref="T267:AB267">SUM(T251:T266)</f>
        <v>0</v>
      </c>
      <c r="U267" s="314">
        <f t="shared" si="80"/>
        <v>0</v>
      </c>
      <c r="V267" s="314">
        <f t="shared" si="80"/>
        <v>0</v>
      </c>
      <c r="W267" s="314">
        <f t="shared" si="80"/>
        <v>0</v>
      </c>
      <c r="X267" s="314">
        <f t="shared" si="80"/>
        <v>0</v>
      </c>
      <c r="Y267" s="314">
        <f t="shared" si="80"/>
        <v>74.74</v>
      </c>
      <c r="Z267" s="314">
        <f t="shared" si="80"/>
        <v>2244.9900000000002</v>
      </c>
      <c r="AA267" s="314">
        <f t="shared" si="80"/>
        <v>480.135048</v>
      </c>
      <c r="AB267" s="327">
        <f t="shared" si="80"/>
        <v>0</v>
      </c>
      <c r="AC267" s="586"/>
      <c r="AD267" s="586"/>
      <c r="AE267" s="330"/>
      <c r="AF267" s="582"/>
      <c r="AG267" s="266"/>
      <c r="AH267" s="266"/>
      <c r="AI267" s="266"/>
      <c r="AJ267" s="266"/>
      <c r="AK267" s="266"/>
      <c r="AL267" s="266"/>
      <c r="AM267" s="266"/>
      <c r="AN267" s="266"/>
      <c r="AO267" s="266"/>
      <c r="AP267" s="266"/>
      <c r="AQ267" s="266"/>
      <c r="AR267" s="266"/>
      <c r="AS267" s="266"/>
    </row>
    <row r="268" spans="1:45" ht="15" customHeight="1">
      <c r="A268" s="312" t="s">
        <v>164</v>
      </c>
      <c r="B268" s="672" t="s">
        <v>89</v>
      </c>
      <c r="C268" s="673"/>
      <c r="D268" s="555"/>
      <c r="E268" s="707" t="s">
        <v>164</v>
      </c>
      <c r="F268" s="672" t="s">
        <v>89</v>
      </c>
      <c r="G268" s="673"/>
      <c r="H268" s="501"/>
      <c r="I268" s="362"/>
      <c r="J268" s="314"/>
      <c r="K268" s="314"/>
      <c r="L268" s="314"/>
      <c r="M268" s="314"/>
      <c r="N268" s="303"/>
      <c r="O268" s="428"/>
      <c r="P268" s="314"/>
      <c r="Q268" s="314"/>
      <c r="R268" s="314"/>
      <c r="S268" s="391"/>
      <c r="T268" s="294"/>
      <c r="U268" s="275"/>
      <c r="V268" s="275"/>
      <c r="W268" s="275"/>
      <c r="X268" s="296"/>
      <c r="Y268" s="275"/>
      <c r="Z268" s="275"/>
      <c r="AA268" s="275"/>
      <c r="AB268" s="278"/>
      <c r="AC268" s="581"/>
      <c r="AD268" s="581"/>
      <c r="AE268" s="581"/>
      <c r="AF268" s="582"/>
      <c r="AG268" s="266"/>
      <c r="AH268" s="266"/>
      <c r="AI268" s="266"/>
      <c r="AJ268" s="266"/>
      <c r="AK268" s="266"/>
      <c r="AL268" s="266"/>
      <c r="AM268" s="266"/>
      <c r="AN268" s="266"/>
      <c r="AO268" s="266"/>
      <c r="AP268" s="266"/>
      <c r="AQ268" s="266"/>
      <c r="AR268" s="266"/>
      <c r="AS268" s="266"/>
    </row>
    <row r="269" spans="1:45" ht="42" customHeight="1">
      <c r="A269" s="282" t="s">
        <v>165</v>
      </c>
      <c r="B269" s="437" t="s">
        <v>282</v>
      </c>
      <c r="C269" s="519" t="s">
        <v>4</v>
      </c>
      <c r="D269" s="568">
        <v>14.5</v>
      </c>
      <c r="E269" s="385" t="s">
        <v>165</v>
      </c>
      <c r="F269" s="437" t="s">
        <v>282</v>
      </c>
      <c r="G269" s="519" t="s">
        <v>4</v>
      </c>
      <c r="H269" s="512">
        <v>14.5</v>
      </c>
      <c r="I269" s="320">
        <v>1.3636363636363635</v>
      </c>
      <c r="J269" s="277">
        <v>2.2</v>
      </c>
      <c r="K269" s="276">
        <v>3</v>
      </c>
      <c r="L269" s="276">
        <v>3</v>
      </c>
      <c r="M269" s="276">
        <v>0.2</v>
      </c>
      <c r="N269" s="300">
        <v>6.2</v>
      </c>
      <c r="O269" s="424">
        <f aca="true" t="shared" si="81" ref="O269:O281">H269*I269</f>
        <v>19.77272727272727</v>
      </c>
      <c r="P269" s="277">
        <f aca="true" t="shared" si="82" ref="P269:P281">H269*K269</f>
        <v>43.5</v>
      </c>
      <c r="Q269" s="277">
        <f aca="true" t="shared" si="83" ref="Q269:Q281">H269*L269</f>
        <v>43.5</v>
      </c>
      <c r="R269" s="277">
        <f aca="true" t="shared" si="84" ref="R269:R281">H269*M269</f>
        <v>2.9000000000000004</v>
      </c>
      <c r="S269" s="369">
        <f aca="true" t="shared" si="85" ref="S269:S281">P269+Q269+R269</f>
        <v>89.9</v>
      </c>
      <c r="T269" s="294"/>
      <c r="U269" s="275"/>
      <c r="V269" s="275"/>
      <c r="W269" s="275"/>
      <c r="X269" s="296"/>
      <c r="Y269" s="275">
        <v>0</v>
      </c>
      <c r="Z269" s="275">
        <v>0</v>
      </c>
      <c r="AA269" s="275">
        <f aca="true" t="shared" si="86" ref="AA269:AA281">S269-X269-Z269</f>
        <v>89.9</v>
      </c>
      <c r="AB269" s="813" t="s">
        <v>448</v>
      </c>
      <c r="AC269" s="581"/>
      <c r="AD269" s="581"/>
      <c r="AE269" s="581"/>
      <c r="AF269" s="582"/>
      <c r="AG269" s="266"/>
      <c r="AH269" s="266"/>
      <c r="AI269" s="266"/>
      <c r="AJ269" s="266"/>
      <c r="AK269" s="266"/>
      <c r="AL269" s="266"/>
      <c r="AM269" s="266"/>
      <c r="AN269" s="266"/>
      <c r="AO269" s="266"/>
      <c r="AP269" s="266"/>
      <c r="AQ269" s="266"/>
      <c r="AR269" s="266"/>
      <c r="AS269" s="266"/>
    </row>
    <row r="270" spans="1:45" ht="26.25" customHeight="1">
      <c r="A270" s="333" t="s">
        <v>166</v>
      </c>
      <c r="B270" s="437" t="s">
        <v>316</v>
      </c>
      <c r="C270" s="519" t="s">
        <v>4</v>
      </c>
      <c r="D270" s="553">
        <v>11.6</v>
      </c>
      <c r="E270" s="385" t="s">
        <v>166</v>
      </c>
      <c r="F270" s="437" t="s">
        <v>316</v>
      </c>
      <c r="G270" s="519" t="s">
        <v>4</v>
      </c>
      <c r="H270" s="487">
        <v>11.6</v>
      </c>
      <c r="I270" s="320">
        <v>2.2727272727272725</v>
      </c>
      <c r="J270" s="277">
        <v>2.2</v>
      </c>
      <c r="K270" s="276">
        <v>5</v>
      </c>
      <c r="L270" s="276">
        <v>2.2</v>
      </c>
      <c r="M270" s="276">
        <v>0.2</v>
      </c>
      <c r="N270" s="300">
        <v>7.4</v>
      </c>
      <c r="O270" s="424">
        <f t="shared" si="81"/>
        <v>26.36363636363636</v>
      </c>
      <c r="P270" s="277">
        <f t="shared" si="82"/>
        <v>58</v>
      </c>
      <c r="Q270" s="277">
        <f t="shared" si="83"/>
        <v>25.52</v>
      </c>
      <c r="R270" s="277">
        <f t="shared" si="84"/>
        <v>2.32</v>
      </c>
      <c r="S270" s="369">
        <f t="shared" si="85"/>
        <v>85.83999999999999</v>
      </c>
      <c r="T270" s="294"/>
      <c r="U270" s="275"/>
      <c r="V270" s="275"/>
      <c r="W270" s="275"/>
      <c r="X270" s="296"/>
      <c r="Y270" s="275">
        <v>0</v>
      </c>
      <c r="Z270" s="275">
        <v>0</v>
      </c>
      <c r="AA270" s="275">
        <f t="shared" si="86"/>
        <v>85.83999999999999</v>
      </c>
      <c r="AB270" s="814"/>
      <c r="AC270" s="581"/>
      <c r="AD270" s="581"/>
      <c r="AE270" s="581"/>
      <c r="AF270" s="582"/>
      <c r="AG270" s="266"/>
      <c r="AH270" s="266"/>
      <c r="AI270" s="266"/>
      <c r="AJ270" s="266"/>
      <c r="AK270" s="266"/>
      <c r="AL270" s="266"/>
      <c r="AM270" s="266"/>
      <c r="AN270" s="266"/>
      <c r="AO270" s="266"/>
      <c r="AP270" s="266"/>
      <c r="AQ270" s="266"/>
      <c r="AR270" s="266"/>
      <c r="AS270" s="266"/>
    </row>
    <row r="271" spans="1:45" ht="15" customHeight="1">
      <c r="A271" s="282" t="s">
        <v>167</v>
      </c>
      <c r="B271" s="437" t="s">
        <v>283</v>
      </c>
      <c r="C271" s="521" t="s">
        <v>4</v>
      </c>
      <c r="D271" s="552">
        <v>21</v>
      </c>
      <c r="E271" s="372" t="s">
        <v>167</v>
      </c>
      <c r="F271" s="437" t="s">
        <v>283</v>
      </c>
      <c r="G271" s="521" t="s">
        <v>4</v>
      </c>
      <c r="H271" s="486">
        <v>21</v>
      </c>
      <c r="I271" s="320">
        <v>0.6818181818181818</v>
      </c>
      <c r="J271" s="277">
        <v>2.2</v>
      </c>
      <c r="K271" s="276">
        <v>1.5</v>
      </c>
      <c r="L271" s="276">
        <v>1</v>
      </c>
      <c r="M271" s="276">
        <v>0.2</v>
      </c>
      <c r="N271" s="300">
        <v>2.7</v>
      </c>
      <c r="O271" s="424">
        <f t="shared" si="81"/>
        <v>14.318181818181817</v>
      </c>
      <c r="P271" s="277">
        <f t="shared" si="82"/>
        <v>31.5</v>
      </c>
      <c r="Q271" s="277">
        <f t="shared" si="83"/>
        <v>21</v>
      </c>
      <c r="R271" s="277">
        <f t="shared" si="84"/>
        <v>4.2</v>
      </c>
      <c r="S271" s="369">
        <f t="shared" si="85"/>
        <v>56.7</v>
      </c>
      <c r="T271" s="294"/>
      <c r="U271" s="275"/>
      <c r="V271" s="275"/>
      <c r="W271" s="275"/>
      <c r="X271" s="296"/>
      <c r="Y271" s="275">
        <v>0</v>
      </c>
      <c r="Z271" s="275">
        <v>0</v>
      </c>
      <c r="AA271" s="275">
        <f t="shared" si="86"/>
        <v>56.7</v>
      </c>
      <c r="AB271" s="814"/>
      <c r="AC271" s="581"/>
      <c r="AD271" s="581"/>
      <c r="AE271" s="581"/>
      <c r="AF271" s="582"/>
      <c r="AG271" s="266"/>
      <c r="AH271" s="266"/>
      <c r="AI271" s="266"/>
      <c r="AJ271" s="266"/>
      <c r="AK271" s="266"/>
      <c r="AL271" s="266"/>
      <c r="AM271" s="266"/>
      <c r="AN271" s="266"/>
      <c r="AO271" s="266"/>
      <c r="AP271" s="266"/>
      <c r="AQ271" s="266"/>
      <c r="AR271" s="266"/>
      <c r="AS271" s="266"/>
    </row>
    <row r="272" spans="1:45" ht="15" customHeight="1">
      <c r="A272" s="282" t="s">
        <v>133</v>
      </c>
      <c r="B272" s="439" t="s">
        <v>284</v>
      </c>
      <c r="C272" s="521" t="s">
        <v>4</v>
      </c>
      <c r="D272" s="552">
        <v>21</v>
      </c>
      <c r="E272" s="372" t="s">
        <v>133</v>
      </c>
      <c r="F272" s="439" t="s">
        <v>284</v>
      </c>
      <c r="G272" s="521" t="s">
        <v>4</v>
      </c>
      <c r="H272" s="486">
        <v>21</v>
      </c>
      <c r="I272" s="320">
        <v>0.6818181818181818</v>
      </c>
      <c r="J272" s="277">
        <v>2.2</v>
      </c>
      <c r="K272" s="276">
        <v>1.5</v>
      </c>
      <c r="L272" s="276">
        <v>1</v>
      </c>
      <c r="M272" s="276">
        <v>0.2</v>
      </c>
      <c r="N272" s="300">
        <v>2.7</v>
      </c>
      <c r="O272" s="424">
        <f t="shared" si="81"/>
        <v>14.318181818181817</v>
      </c>
      <c r="P272" s="277">
        <f t="shared" si="82"/>
        <v>31.5</v>
      </c>
      <c r="Q272" s="277">
        <f t="shared" si="83"/>
        <v>21</v>
      </c>
      <c r="R272" s="277">
        <f t="shared" si="84"/>
        <v>4.2</v>
      </c>
      <c r="S272" s="369">
        <f t="shared" si="85"/>
        <v>56.7</v>
      </c>
      <c r="T272" s="294"/>
      <c r="U272" s="275"/>
      <c r="V272" s="275"/>
      <c r="W272" s="275"/>
      <c r="X272" s="296"/>
      <c r="Y272" s="275">
        <v>0</v>
      </c>
      <c r="Z272" s="275">
        <v>0</v>
      </c>
      <c r="AA272" s="275">
        <f t="shared" si="86"/>
        <v>56.7</v>
      </c>
      <c r="AB272" s="814"/>
      <c r="AC272" s="581"/>
      <c r="AD272" s="581"/>
      <c r="AE272" s="581"/>
      <c r="AF272" s="582"/>
      <c r="AG272" s="266"/>
      <c r="AH272" s="266"/>
      <c r="AI272" s="266"/>
      <c r="AJ272" s="266"/>
      <c r="AK272" s="266"/>
      <c r="AL272" s="266"/>
      <c r="AM272" s="266"/>
      <c r="AN272" s="266"/>
      <c r="AO272" s="266"/>
      <c r="AP272" s="266"/>
      <c r="AQ272" s="266"/>
      <c r="AR272" s="266"/>
      <c r="AS272" s="266"/>
    </row>
    <row r="273" spans="1:45" ht="15" customHeight="1">
      <c r="A273" s="282" t="s">
        <v>168</v>
      </c>
      <c r="B273" s="442" t="s">
        <v>134</v>
      </c>
      <c r="C273" s="521" t="s">
        <v>3</v>
      </c>
      <c r="D273" s="552">
        <v>27</v>
      </c>
      <c r="E273" s="372" t="s">
        <v>168</v>
      </c>
      <c r="F273" s="442" t="s">
        <v>134</v>
      </c>
      <c r="G273" s="521" t="s">
        <v>3</v>
      </c>
      <c r="H273" s="486">
        <v>27</v>
      </c>
      <c r="I273" s="320">
        <v>0.8181818181818181</v>
      </c>
      <c r="J273" s="277">
        <v>2.2</v>
      </c>
      <c r="K273" s="276">
        <v>1.8</v>
      </c>
      <c r="L273" s="276">
        <v>2.2</v>
      </c>
      <c r="M273" s="276">
        <v>0.15</v>
      </c>
      <c r="N273" s="300">
        <v>4.15</v>
      </c>
      <c r="O273" s="424">
        <f t="shared" si="81"/>
        <v>22.09090909090909</v>
      </c>
      <c r="P273" s="277">
        <f t="shared" si="82"/>
        <v>48.6</v>
      </c>
      <c r="Q273" s="277">
        <f t="shared" si="83"/>
        <v>59.400000000000006</v>
      </c>
      <c r="R273" s="277">
        <f t="shared" si="84"/>
        <v>4.05</v>
      </c>
      <c r="S273" s="369">
        <f t="shared" si="85"/>
        <v>112.05</v>
      </c>
      <c r="T273" s="294"/>
      <c r="U273" s="275"/>
      <c r="V273" s="275"/>
      <c r="W273" s="275"/>
      <c r="X273" s="296"/>
      <c r="Y273" s="275">
        <v>27</v>
      </c>
      <c r="Z273" s="275">
        <v>112.05</v>
      </c>
      <c r="AA273" s="275">
        <f t="shared" si="86"/>
        <v>0</v>
      </c>
      <c r="AB273" s="815"/>
      <c r="AC273" s="581"/>
      <c r="AD273" s="581"/>
      <c r="AE273" s="581"/>
      <c r="AF273" s="582"/>
      <c r="AG273" s="266"/>
      <c r="AH273" s="266"/>
      <c r="AI273" s="266"/>
      <c r="AJ273" s="266"/>
      <c r="AK273" s="266"/>
      <c r="AL273" s="266"/>
      <c r="AM273" s="266"/>
      <c r="AN273" s="266"/>
      <c r="AO273" s="266"/>
      <c r="AP273" s="266"/>
      <c r="AQ273" s="266"/>
      <c r="AR273" s="266"/>
      <c r="AS273" s="266"/>
    </row>
    <row r="274" spans="1:45" ht="15" customHeight="1">
      <c r="A274" s="282" t="s">
        <v>169</v>
      </c>
      <c r="B274" s="446" t="s">
        <v>285</v>
      </c>
      <c r="C274" s="518" t="s">
        <v>3</v>
      </c>
      <c r="D274" s="569">
        <v>450</v>
      </c>
      <c r="E274" s="372" t="s">
        <v>169</v>
      </c>
      <c r="F274" s="446" t="s">
        <v>285</v>
      </c>
      <c r="G274" s="518" t="s">
        <v>3</v>
      </c>
      <c r="H274" s="513">
        <v>450</v>
      </c>
      <c r="I274" s="320">
        <v>0.11363636363636363</v>
      </c>
      <c r="J274" s="277">
        <v>2.2</v>
      </c>
      <c r="K274" s="277">
        <v>0.25</v>
      </c>
      <c r="L274" s="277"/>
      <c r="M274" s="277">
        <v>0.25</v>
      </c>
      <c r="N274" s="300">
        <v>0.5</v>
      </c>
      <c r="O274" s="424">
        <f t="shared" si="81"/>
        <v>51.13636363636363</v>
      </c>
      <c r="P274" s="277">
        <f t="shared" si="82"/>
        <v>112.5</v>
      </c>
      <c r="Q274" s="277">
        <f t="shared" si="83"/>
        <v>0</v>
      </c>
      <c r="R274" s="277">
        <f t="shared" si="84"/>
        <v>112.5</v>
      </c>
      <c r="S274" s="369">
        <f t="shared" si="85"/>
        <v>225</v>
      </c>
      <c r="T274" s="294"/>
      <c r="U274" s="275"/>
      <c r="V274" s="275"/>
      <c r="W274" s="275"/>
      <c r="X274" s="296"/>
      <c r="Y274" s="275">
        <v>450</v>
      </c>
      <c r="Z274" s="275">
        <v>225</v>
      </c>
      <c r="AA274" s="275">
        <f t="shared" si="86"/>
        <v>0</v>
      </c>
      <c r="AB274" s="278"/>
      <c r="AC274" s="581"/>
      <c r="AD274" s="581"/>
      <c r="AE274" s="581"/>
      <c r="AF274" s="582"/>
      <c r="AG274" s="266"/>
      <c r="AH274" s="266"/>
      <c r="AI274" s="266"/>
      <c r="AJ274" s="266"/>
      <c r="AK274" s="266"/>
      <c r="AL274" s="266"/>
      <c r="AM274" s="266"/>
      <c r="AN274" s="266"/>
      <c r="AO274" s="266"/>
      <c r="AP274" s="266"/>
      <c r="AQ274" s="266"/>
      <c r="AR274" s="266"/>
      <c r="AS274" s="266"/>
    </row>
    <row r="275" spans="1:45" ht="15" customHeight="1">
      <c r="A275" s="282" t="s">
        <v>299</v>
      </c>
      <c r="B275" s="446" t="s">
        <v>317</v>
      </c>
      <c r="C275" s="521" t="s">
        <v>4</v>
      </c>
      <c r="D275" s="552">
        <v>27</v>
      </c>
      <c r="E275" s="372" t="s">
        <v>299</v>
      </c>
      <c r="F275" s="446" t="s">
        <v>317</v>
      </c>
      <c r="G275" s="521" t="s">
        <v>4</v>
      </c>
      <c r="H275" s="486">
        <v>27</v>
      </c>
      <c r="I275" s="320">
        <v>1.5909090909090908</v>
      </c>
      <c r="J275" s="277">
        <v>2.2</v>
      </c>
      <c r="K275" s="276">
        <v>3.5</v>
      </c>
      <c r="L275" s="276">
        <v>3</v>
      </c>
      <c r="M275" s="276">
        <v>0.2</v>
      </c>
      <c r="N275" s="300">
        <v>6.7</v>
      </c>
      <c r="O275" s="424">
        <f t="shared" si="81"/>
        <v>42.95454545454545</v>
      </c>
      <c r="P275" s="277">
        <f t="shared" si="82"/>
        <v>94.5</v>
      </c>
      <c r="Q275" s="277">
        <f t="shared" si="83"/>
        <v>81</v>
      </c>
      <c r="R275" s="277">
        <f t="shared" si="84"/>
        <v>5.4</v>
      </c>
      <c r="S275" s="369">
        <f t="shared" si="85"/>
        <v>180.9</v>
      </c>
      <c r="T275" s="294"/>
      <c r="U275" s="275"/>
      <c r="V275" s="275"/>
      <c r="W275" s="275"/>
      <c r="X275" s="296"/>
      <c r="Y275" s="275">
        <v>0</v>
      </c>
      <c r="Z275" s="275">
        <v>0</v>
      </c>
      <c r="AA275" s="275">
        <f t="shared" si="86"/>
        <v>180.9</v>
      </c>
      <c r="AB275" s="278"/>
      <c r="AC275" s="581"/>
      <c r="AD275" s="581"/>
      <c r="AE275" s="581"/>
      <c r="AF275" s="582"/>
      <c r="AG275" s="266"/>
      <c r="AH275" s="266"/>
      <c r="AI275" s="266"/>
      <c r="AJ275" s="266"/>
      <c r="AK275" s="266"/>
      <c r="AL275" s="266"/>
      <c r="AM275" s="266"/>
      <c r="AN275" s="266"/>
      <c r="AO275" s="266"/>
      <c r="AP275" s="266"/>
      <c r="AQ275" s="266"/>
      <c r="AR275" s="266"/>
      <c r="AS275" s="266"/>
    </row>
    <row r="276" spans="1:45" ht="26.25" customHeight="1">
      <c r="A276" s="282" t="s">
        <v>300</v>
      </c>
      <c r="B276" s="437" t="s">
        <v>286</v>
      </c>
      <c r="C276" s="519" t="s">
        <v>347</v>
      </c>
      <c r="D276" s="553">
        <v>5.76</v>
      </c>
      <c r="E276" s="385" t="s">
        <v>300</v>
      </c>
      <c r="F276" s="437" t="s">
        <v>286</v>
      </c>
      <c r="G276" s="519" t="s">
        <v>347</v>
      </c>
      <c r="H276" s="487">
        <v>5.76</v>
      </c>
      <c r="I276" s="320">
        <v>2.954545454545454</v>
      </c>
      <c r="J276" s="277">
        <v>2.2</v>
      </c>
      <c r="K276" s="277">
        <v>6.5</v>
      </c>
      <c r="L276" s="277">
        <v>45</v>
      </c>
      <c r="M276" s="277">
        <v>2</v>
      </c>
      <c r="N276" s="300">
        <v>53.5</v>
      </c>
      <c r="O276" s="424">
        <f t="shared" si="81"/>
        <v>17.018181818181816</v>
      </c>
      <c r="P276" s="277">
        <f t="shared" si="82"/>
        <v>37.44</v>
      </c>
      <c r="Q276" s="277">
        <f t="shared" si="83"/>
        <v>259.2</v>
      </c>
      <c r="R276" s="277">
        <f t="shared" si="84"/>
        <v>11.52</v>
      </c>
      <c r="S276" s="369">
        <f t="shared" si="85"/>
        <v>308.15999999999997</v>
      </c>
      <c r="T276" s="294"/>
      <c r="U276" s="275"/>
      <c r="V276" s="275"/>
      <c r="W276" s="275"/>
      <c r="X276" s="296"/>
      <c r="Y276" s="275">
        <v>4.1018</v>
      </c>
      <c r="Z276" s="275">
        <v>219.44</v>
      </c>
      <c r="AA276" s="275">
        <f t="shared" si="86"/>
        <v>88.71999999999997</v>
      </c>
      <c r="AB276" s="322"/>
      <c r="AC276" s="581"/>
      <c r="AD276" s="581"/>
      <c r="AE276" s="581"/>
      <c r="AF276" s="582"/>
      <c r="AG276" s="266"/>
      <c r="AH276" s="266"/>
      <c r="AI276" s="266"/>
      <c r="AJ276" s="266"/>
      <c r="AK276" s="266"/>
      <c r="AL276" s="266"/>
      <c r="AM276" s="266"/>
      <c r="AN276" s="266"/>
      <c r="AO276" s="266"/>
      <c r="AP276" s="266"/>
      <c r="AQ276" s="266"/>
      <c r="AR276" s="266"/>
      <c r="AS276" s="266"/>
    </row>
    <row r="277" spans="1:45" ht="27" customHeight="1">
      <c r="A277" s="282" t="s">
        <v>301</v>
      </c>
      <c r="B277" s="437" t="s">
        <v>287</v>
      </c>
      <c r="C277" s="519" t="s">
        <v>4</v>
      </c>
      <c r="D277" s="553">
        <v>3.6</v>
      </c>
      <c r="E277" s="385" t="s">
        <v>301</v>
      </c>
      <c r="F277" s="437" t="s">
        <v>287</v>
      </c>
      <c r="G277" s="519" t="s">
        <v>4</v>
      </c>
      <c r="H277" s="487">
        <v>3.6</v>
      </c>
      <c r="I277" s="320">
        <v>1.75</v>
      </c>
      <c r="J277" s="277">
        <v>2.2</v>
      </c>
      <c r="K277" s="276">
        <v>3.85</v>
      </c>
      <c r="L277" s="276">
        <v>2.5</v>
      </c>
      <c r="M277" s="276">
        <v>0.2</v>
      </c>
      <c r="N277" s="300">
        <v>6.55</v>
      </c>
      <c r="O277" s="424">
        <f t="shared" si="81"/>
        <v>6.3</v>
      </c>
      <c r="P277" s="277">
        <f t="shared" si="82"/>
        <v>13.860000000000001</v>
      </c>
      <c r="Q277" s="277">
        <f t="shared" si="83"/>
        <v>9</v>
      </c>
      <c r="R277" s="277">
        <f t="shared" si="84"/>
        <v>0.7200000000000001</v>
      </c>
      <c r="S277" s="369">
        <f t="shared" si="85"/>
        <v>23.58</v>
      </c>
      <c r="T277" s="294"/>
      <c r="U277" s="275"/>
      <c r="V277" s="275"/>
      <c r="W277" s="275"/>
      <c r="X277" s="296"/>
      <c r="Y277" s="275">
        <v>0</v>
      </c>
      <c r="Z277" s="275">
        <v>0</v>
      </c>
      <c r="AA277" s="275">
        <f t="shared" si="86"/>
        <v>23.58</v>
      </c>
      <c r="AB277" s="334"/>
      <c r="AC277" s="581"/>
      <c r="AD277" s="581"/>
      <c r="AE277" s="581"/>
      <c r="AF277" s="582"/>
      <c r="AG277" s="266"/>
      <c r="AH277" s="266"/>
      <c r="AI277" s="266"/>
      <c r="AJ277" s="266"/>
      <c r="AK277" s="266"/>
      <c r="AL277" s="266"/>
      <c r="AM277" s="266"/>
      <c r="AN277" s="266"/>
      <c r="AO277" s="266"/>
      <c r="AP277" s="266"/>
      <c r="AQ277" s="266"/>
      <c r="AR277" s="266"/>
      <c r="AS277" s="266"/>
    </row>
    <row r="278" spans="1:45" ht="25.5" customHeight="1">
      <c r="A278" s="282" t="s">
        <v>302</v>
      </c>
      <c r="B278" s="444" t="s">
        <v>318</v>
      </c>
      <c r="C278" s="539" t="s">
        <v>4</v>
      </c>
      <c r="D278" s="570">
        <v>12</v>
      </c>
      <c r="E278" s="396" t="s">
        <v>302</v>
      </c>
      <c r="F278" s="444" t="s">
        <v>318</v>
      </c>
      <c r="G278" s="539" t="s">
        <v>4</v>
      </c>
      <c r="H278" s="514">
        <v>12</v>
      </c>
      <c r="I278" s="320">
        <v>1.75</v>
      </c>
      <c r="J278" s="277">
        <v>2.2</v>
      </c>
      <c r="K278" s="276">
        <v>3.85</v>
      </c>
      <c r="L278" s="276">
        <v>2.5</v>
      </c>
      <c r="M278" s="276">
        <v>0.2</v>
      </c>
      <c r="N278" s="300">
        <v>6.55</v>
      </c>
      <c r="O278" s="424">
        <f t="shared" si="81"/>
        <v>21</v>
      </c>
      <c r="P278" s="277">
        <f t="shared" si="82"/>
        <v>46.2</v>
      </c>
      <c r="Q278" s="277">
        <f t="shared" si="83"/>
        <v>30</v>
      </c>
      <c r="R278" s="277">
        <f t="shared" si="84"/>
        <v>2.4000000000000004</v>
      </c>
      <c r="S278" s="369">
        <f t="shared" si="85"/>
        <v>78.60000000000001</v>
      </c>
      <c r="T278" s="294"/>
      <c r="U278" s="275"/>
      <c r="V278" s="275"/>
      <c r="W278" s="275"/>
      <c r="X278" s="296"/>
      <c r="Y278" s="275">
        <v>0</v>
      </c>
      <c r="Z278" s="275">
        <v>0</v>
      </c>
      <c r="AA278" s="275">
        <f t="shared" si="86"/>
        <v>78.60000000000001</v>
      </c>
      <c r="AB278" s="297" t="s">
        <v>449</v>
      </c>
      <c r="AC278" s="581"/>
      <c r="AD278" s="573"/>
      <c r="AE278" s="581"/>
      <c r="AF278" s="582"/>
      <c r="AG278" s="266"/>
      <c r="AH278" s="266"/>
      <c r="AI278" s="266"/>
      <c r="AJ278" s="266"/>
      <c r="AK278" s="266"/>
      <c r="AL278" s="266"/>
      <c r="AM278" s="266"/>
      <c r="AN278" s="266"/>
      <c r="AO278" s="266"/>
      <c r="AP278" s="266"/>
      <c r="AQ278" s="266"/>
      <c r="AR278" s="266"/>
      <c r="AS278" s="266"/>
    </row>
    <row r="279" spans="1:45" ht="16.5" customHeight="1">
      <c r="A279" s="282" t="s">
        <v>303</v>
      </c>
      <c r="B279" s="436" t="s">
        <v>135</v>
      </c>
      <c r="C279" s="518" t="s">
        <v>10</v>
      </c>
      <c r="D279" s="552">
        <v>1</v>
      </c>
      <c r="E279" s="372" t="s">
        <v>303</v>
      </c>
      <c r="F279" s="436" t="s">
        <v>135</v>
      </c>
      <c r="G279" s="518" t="s">
        <v>10</v>
      </c>
      <c r="H279" s="486">
        <v>1</v>
      </c>
      <c r="I279" s="320">
        <v>2.727272727272727</v>
      </c>
      <c r="J279" s="277">
        <v>2.2</v>
      </c>
      <c r="K279" s="276">
        <v>6</v>
      </c>
      <c r="L279" s="277">
        <v>25</v>
      </c>
      <c r="M279" s="277">
        <v>5</v>
      </c>
      <c r="N279" s="300">
        <v>36</v>
      </c>
      <c r="O279" s="424">
        <f t="shared" si="81"/>
        <v>2.727272727272727</v>
      </c>
      <c r="P279" s="277">
        <f t="shared" si="82"/>
        <v>6</v>
      </c>
      <c r="Q279" s="277">
        <f t="shared" si="83"/>
        <v>25</v>
      </c>
      <c r="R279" s="277">
        <f t="shared" si="84"/>
        <v>5</v>
      </c>
      <c r="S279" s="369">
        <f t="shared" si="85"/>
        <v>36</v>
      </c>
      <c r="T279" s="294"/>
      <c r="U279" s="275"/>
      <c r="V279" s="275"/>
      <c r="W279" s="275"/>
      <c r="X279" s="296"/>
      <c r="Y279" s="275">
        <v>0</v>
      </c>
      <c r="Z279" s="275">
        <v>0</v>
      </c>
      <c r="AA279" s="275">
        <f t="shared" si="86"/>
        <v>36</v>
      </c>
      <c r="AB279" s="298" t="s">
        <v>450</v>
      </c>
      <c r="AC279" s="581"/>
      <c r="AD279" s="581"/>
      <c r="AE279" s="581"/>
      <c r="AF279" s="582"/>
      <c r="AG279" s="266"/>
      <c r="AH279" s="266"/>
      <c r="AI279" s="266"/>
      <c r="AJ279" s="266"/>
      <c r="AK279" s="266"/>
      <c r="AL279" s="266"/>
      <c r="AM279" s="266"/>
      <c r="AN279" s="266"/>
      <c r="AO279" s="266"/>
      <c r="AP279" s="266"/>
      <c r="AQ279" s="266"/>
      <c r="AR279" s="266"/>
      <c r="AS279" s="266"/>
    </row>
    <row r="280" spans="1:45" ht="15" customHeight="1">
      <c r="A280" s="282" t="s">
        <v>304</v>
      </c>
      <c r="B280" s="446" t="s">
        <v>162</v>
      </c>
      <c r="C280" s="521" t="s">
        <v>8</v>
      </c>
      <c r="D280" s="552">
        <v>1</v>
      </c>
      <c r="E280" s="372" t="s">
        <v>304</v>
      </c>
      <c r="F280" s="446" t="s">
        <v>162</v>
      </c>
      <c r="G280" s="521" t="s">
        <v>8</v>
      </c>
      <c r="H280" s="486">
        <v>1</v>
      </c>
      <c r="I280" s="320">
        <v>2.2727272727272725</v>
      </c>
      <c r="J280" s="277">
        <v>2.2</v>
      </c>
      <c r="K280" s="276">
        <v>5</v>
      </c>
      <c r="L280" s="277">
        <v>10</v>
      </c>
      <c r="M280" s="277">
        <v>1</v>
      </c>
      <c r="N280" s="300">
        <v>16</v>
      </c>
      <c r="O280" s="424">
        <f t="shared" si="81"/>
        <v>2.2727272727272725</v>
      </c>
      <c r="P280" s="277">
        <f t="shared" si="82"/>
        <v>5</v>
      </c>
      <c r="Q280" s="277">
        <f t="shared" si="83"/>
        <v>10</v>
      </c>
      <c r="R280" s="277">
        <f t="shared" si="84"/>
        <v>1</v>
      </c>
      <c r="S280" s="369">
        <f t="shared" si="85"/>
        <v>16</v>
      </c>
      <c r="T280" s="294"/>
      <c r="U280" s="275"/>
      <c r="V280" s="275"/>
      <c r="W280" s="275"/>
      <c r="X280" s="296"/>
      <c r="Y280" s="275">
        <v>0</v>
      </c>
      <c r="Z280" s="275">
        <v>0</v>
      </c>
      <c r="AA280" s="275">
        <f t="shared" si="86"/>
        <v>16</v>
      </c>
      <c r="AB280" s="298" t="s">
        <v>451</v>
      </c>
      <c r="AC280" s="581"/>
      <c r="AD280" s="581"/>
      <c r="AE280" s="581"/>
      <c r="AF280" s="582"/>
      <c r="AG280" s="266"/>
      <c r="AH280" s="266"/>
      <c r="AI280" s="266"/>
      <c r="AJ280" s="266"/>
      <c r="AK280" s="266"/>
      <c r="AL280" s="266"/>
      <c r="AM280" s="266"/>
      <c r="AN280" s="266"/>
      <c r="AO280" s="266"/>
      <c r="AP280" s="266"/>
      <c r="AQ280" s="266"/>
      <c r="AR280" s="266"/>
      <c r="AS280" s="266"/>
    </row>
    <row r="281" spans="1:45" ht="29.25" customHeight="1" thickBot="1">
      <c r="A281" s="637" t="s">
        <v>305</v>
      </c>
      <c r="B281" s="665" t="s">
        <v>163</v>
      </c>
      <c r="C281" s="526" t="s">
        <v>8</v>
      </c>
      <c r="D281" s="557">
        <v>12</v>
      </c>
      <c r="E281" s="666" t="s">
        <v>305</v>
      </c>
      <c r="F281" s="665" t="s">
        <v>163</v>
      </c>
      <c r="G281" s="526" t="s">
        <v>8</v>
      </c>
      <c r="H281" s="495">
        <v>12</v>
      </c>
      <c r="I281" s="359">
        <v>2.2727272727272725</v>
      </c>
      <c r="J281" s="307">
        <v>2.2</v>
      </c>
      <c r="K281" s="306">
        <v>5</v>
      </c>
      <c r="L281" s="306">
        <v>8.5</v>
      </c>
      <c r="M281" s="306">
        <v>1</v>
      </c>
      <c r="N281" s="301">
        <v>14.5</v>
      </c>
      <c r="O281" s="431">
        <f t="shared" si="81"/>
        <v>27.27272727272727</v>
      </c>
      <c r="P281" s="307">
        <f t="shared" si="82"/>
        <v>60</v>
      </c>
      <c r="Q281" s="307">
        <f t="shared" si="83"/>
        <v>102</v>
      </c>
      <c r="R281" s="307">
        <f t="shared" si="84"/>
        <v>12</v>
      </c>
      <c r="S281" s="377">
        <f t="shared" si="85"/>
        <v>174</v>
      </c>
      <c r="T281" s="358"/>
      <c r="U281" s="285"/>
      <c r="V281" s="285"/>
      <c r="W281" s="285"/>
      <c r="X281" s="326"/>
      <c r="Y281" s="285">
        <v>0</v>
      </c>
      <c r="Z281" s="285">
        <v>0</v>
      </c>
      <c r="AA281" s="285">
        <f t="shared" si="86"/>
        <v>174</v>
      </c>
      <c r="AB281" s="331" t="s">
        <v>452</v>
      </c>
      <c r="AC281" s="581"/>
      <c r="AD281" s="581"/>
      <c r="AE281" s="581"/>
      <c r="AF281" s="582"/>
      <c r="AG281" s="266"/>
      <c r="AH281" s="266"/>
      <c r="AI281" s="266"/>
      <c r="AJ281" s="266"/>
      <c r="AK281" s="266"/>
      <c r="AL281" s="266"/>
      <c r="AM281" s="266"/>
      <c r="AN281" s="266"/>
      <c r="AO281" s="266"/>
      <c r="AP281" s="266"/>
      <c r="AQ281" s="266"/>
      <c r="AR281" s="266"/>
      <c r="AS281" s="266"/>
    </row>
    <row r="282" spans="1:45" s="81" customFormat="1" ht="27" customHeight="1">
      <c r="A282" s="281"/>
      <c r="B282" s="547"/>
      <c r="C282" s="521"/>
      <c r="D282" s="552"/>
      <c r="E282" s="397" t="s">
        <v>583</v>
      </c>
      <c r="F282" s="482" t="s">
        <v>586</v>
      </c>
      <c r="G282" s="521" t="s">
        <v>420</v>
      </c>
      <c r="H282" s="486">
        <v>4</v>
      </c>
      <c r="I282" s="343">
        <v>12</v>
      </c>
      <c r="J282" s="277">
        <v>3</v>
      </c>
      <c r="K282" s="277">
        <v>36</v>
      </c>
      <c r="L282" s="277">
        <v>85</v>
      </c>
      <c r="M282" s="277">
        <v>2.2</v>
      </c>
      <c r="N282" s="300">
        <v>123.2</v>
      </c>
      <c r="O282" s="424">
        <f>H282*I282</f>
        <v>48</v>
      </c>
      <c r="P282" s="277">
        <f>O282*J282</f>
        <v>144</v>
      </c>
      <c r="Q282" s="277">
        <f>H282*L282</f>
        <v>340</v>
      </c>
      <c r="R282" s="277">
        <f>H282*M282</f>
        <v>8.8</v>
      </c>
      <c r="S282" s="369">
        <f>P282+Q282+R282</f>
        <v>492.8</v>
      </c>
      <c r="T282" s="266"/>
      <c r="U282" s="266"/>
      <c r="V282" s="266"/>
      <c r="W282" s="266"/>
      <c r="X282" s="266"/>
      <c r="Y282" s="266"/>
      <c r="Z282" s="266"/>
      <c r="AA282" s="266"/>
      <c r="AB282" s="266"/>
      <c r="AC282" s="581"/>
      <c r="AD282" s="581"/>
      <c r="AE282" s="581"/>
      <c r="AF282" s="581"/>
      <c r="AG282" s="266"/>
      <c r="AH282" s="266"/>
      <c r="AI282" s="266"/>
      <c r="AJ282" s="266"/>
      <c r="AK282" s="266"/>
      <c r="AL282" s="266"/>
      <c r="AM282" s="266"/>
      <c r="AN282" s="266"/>
      <c r="AO282" s="266"/>
      <c r="AP282" s="266"/>
      <c r="AQ282" s="266"/>
      <c r="AR282" s="266"/>
      <c r="AS282" s="266"/>
    </row>
    <row r="283" spans="1:45" s="81" customFormat="1" ht="29.25" customHeight="1">
      <c r="A283" s="281"/>
      <c r="B283" s="548"/>
      <c r="C283" s="521"/>
      <c r="D283" s="552"/>
      <c r="E283" s="397" t="s">
        <v>587</v>
      </c>
      <c r="F283" s="482" t="s">
        <v>588</v>
      </c>
      <c r="G283" s="521" t="s">
        <v>420</v>
      </c>
      <c r="H283" s="486">
        <v>4</v>
      </c>
      <c r="I283" s="320">
        <v>36</v>
      </c>
      <c r="J283" s="277">
        <v>4.5</v>
      </c>
      <c r="K283" s="277">
        <v>162</v>
      </c>
      <c r="L283" s="277">
        <v>250</v>
      </c>
      <c r="M283" s="277">
        <v>1.5</v>
      </c>
      <c r="N283" s="300">
        <v>413.5</v>
      </c>
      <c r="O283" s="424">
        <f>H283*I283</f>
        <v>144</v>
      </c>
      <c r="P283" s="277">
        <f>O283*J283</f>
        <v>648</v>
      </c>
      <c r="Q283" s="277">
        <f>H283*L283</f>
        <v>1000</v>
      </c>
      <c r="R283" s="277">
        <f>H283*M283</f>
        <v>6</v>
      </c>
      <c r="S283" s="369">
        <f>P283+Q283+R283</f>
        <v>1654</v>
      </c>
      <c r="T283" s="266"/>
      <c r="U283" s="266"/>
      <c r="V283" s="266"/>
      <c r="W283" s="266"/>
      <c r="X283" s="266"/>
      <c r="Y283" s="266"/>
      <c r="Z283" s="266"/>
      <c r="AA283" s="266"/>
      <c r="AB283" s="266"/>
      <c r="AC283" s="581"/>
      <c r="AD283" s="581"/>
      <c r="AE283" s="581"/>
      <c r="AF283" s="581"/>
      <c r="AG283" s="266"/>
      <c r="AH283" s="266"/>
      <c r="AI283" s="266"/>
      <c r="AJ283" s="266"/>
      <c r="AK283" s="266"/>
      <c r="AL283" s="266"/>
      <c r="AM283" s="266"/>
      <c r="AN283" s="266"/>
      <c r="AO283" s="266"/>
      <c r="AP283" s="266"/>
      <c r="AQ283" s="266"/>
      <c r="AR283" s="266"/>
      <c r="AS283" s="266"/>
    </row>
    <row r="284" spans="1:45" s="81" customFormat="1" ht="15" customHeight="1">
      <c r="A284" s="281"/>
      <c r="B284" s="549"/>
      <c r="C284" s="542"/>
      <c r="D284" s="557"/>
      <c r="E284" s="376" t="s">
        <v>604</v>
      </c>
      <c r="F284" s="483" t="s">
        <v>589</v>
      </c>
      <c r="G284" s="542" t="s">
        <v>3</v>
      </c>
      <c r="H284" s="495">
        <v>75.92</v>
      </c>
      <c r="I284" s="359">
        <f>K284/J284</f>
        <v>0.3863636363636363</v>
      </c>
      <c r="J284" s="307">
        <v>2.2</v>
      </c>
      <c r="K284" s="307">
        <v>0.85</v>
      </c>
      <c r="L284" s="307">
        <v>3.25</v>
      </c>
      <c r="M284" s="307">
        <v>0.05</v>
      </c>
      <c r="N284" s="301">
        <f>K284+L284+M284</f>
        <v>4.1499999999999995</v>
      </c>
      <c r="O284" s="424">
        <f>H284*I284</f>
        <v>29.33272727272727</v>
      </c>
      <c r="P284" s="277">
        <f>H284*K284</f>
        <v>64.532</v>
      </c>
      <c r="Q284" s="277">
        <f>H284*L284</f>
        <v>246.74</v>
      </c>
      <c r="R284" s="277">
        <f>H284*M284</f>
        <v>3.7960000000000003</v>
      </c>
      <c r="S284" s="369">
        <f>P284+Q284+R284</f>
        <v>315.068</v>
      </c>
      <c r="T284" s="342"/>
      <c r="U284" s="266"/>
      <c r="V284" s="266"/>
      <c r="W284" s="266"/>
      <c r="X284" s="266"/>
      <c r="Y284" s="266"/>
      <c r="Z284" s="266"/>
      <c r="AA284" s="266"/>
      <c r="AB284" s="266"/>
      <c r="AC284" s="581"/>
      <c r="AD284" s="581"/>
      <c r="AE284" s="581"/>
      <c r="AF284" s="581"/>
      <c r="AG284" s="266"/>
      <c r="AH284" s="266"/>
      <c r="AI284" s="266"/>
      <c r="AJ284" s="266"/>
      <c r="AK284" s="266"/>
      <c r="AL284" s="266"/>
      <c r="AM284" s="266"/>
      <c r="AN284" s="266"/>
      <c r="AO284" s="266"/>
      <c r="AP284" s="266"/>
      <c r="AQ284" s="266"/>
      <c r="AR284" s="266"/>
      <c r="AS284" s="266"/>
    </row>
    <row r="285" spans="1:45" s="81" customFormat="1" ht="15.75" customHeight="1" thickBot="1">
      <c r="A285" s="305"/>
      <c r="B285" s="549"/>
      <c r="C285" s="542"/>
      <c r="D285" s="557"/>
      <c r="E285" s="666" t="s">
        <v>605</v>
      </c>
      <c r="F285" s="483" t="s">
        <v>459</v>
      </c>
      <c r="G285" s="542" t="s">
        <v>3</v>
      </c>
      <c r="H285" s="495">
        <v>75.92</v>
      </c>
      <c r="I285" s="359">
        <f>K285/J285</f>
        <v>1.3636363636363635</v>
      </c>
      <c r="J285" s="307">
        <v>2.2</v>
      </c>
      <c r="K285" s="307">
        <v>3</v>
      </c>
      <c r="L285" s="307">
        <v>1</v>
      </c>
      <c r="M285" s="307">
        <v>0.2</v>
      </c>
      <c r="N285" s="301">
        <f>K285+L285+M285</f>
        <v>4.2</v>
      </c>
      <c r="O285" s="431">
        <f>H285*I285</f>
        <v>103.52727272727272</v>
      </c>
      <c r="P285" s="307">
        <f>H285*K285</f>
        <v>227.76</v>
      </c>
      <c r="Q285" s="307">
        <f>H285*L285</f>
        <v>75.92</v>
      </c>
      <c r="R285" s="307">
        <f>H285*M285</f>
        <v>15.184000000000001</v>
      </c>
      <c r="S285" s="377">
        <f>P285+Q285+R285</f>
        <v>318.86400000000003</v>
      </c>
      <c r="T285" s="342"/>
      <c r="U285" s="266"/>
      <c r="V285" s="266"/>
      <c r="W285" s="266"/>
      <c r="X285" s="266"/>
      <c r="Y285" s="266"/>
      <c r="Z285" s="266"/>
      <c r="AA285" s="266"/>
      <c r="AB285" s="266"/>
      <c r="AC285" s="581"/>
      <c r="AD285" s="581"/>
      <c r="AE285" s="581"/>
      <c r="AF285" s="581"/>
      <c r="AG285" s="266"/>
      <c r="AH285" s="266"/>
      <c r="AI285" s="266"/>
      <c r="AJ285" s="266"/>
      <c r="AK285" s="266"/>
      <c r="AL285" s="266"/>
      <c r="AM285" s="266"/>
      <c r="AN285" s="266"/>
      <c r="AO285" s="266"/>
      <c r="AP285" s="266"/>
      <c r="AQ285" s="266"/>
      <c r="AR285" s="266"/>
      <c r="AS285" s="266"/>
    </row>
    <row r="286" spans="1:45" ht="15" customHeight="1" thickBot="1">
      <c r="A286" s="668"/>
      <c r="B286" s="546" t="s">
        <v>348</v>
      </c>
      <c r="C286" s="535"/>
      <c r="D286" s="669"/>
      <c r="E286" s="670"/>
      <c r="F286" s="546" t="s">
        <v>348</v>
      </c>
      <c r="G286" s="535"/>
      <c r="H286" s="671"/>
      <c r="I286" s="648"/>
      <c r="J286" s="310"/>
      <c r="K286" s="317"/>
      <c r="L286" s="317"/>
      <c r="M286" s="317"/>
      <c r="N286" s="404"/>
      <c r="O286" s="426">
        <f>SUM(O269:O285)</f>
        <v>592.4054545454545</v>
      </c>
      <c r="P286" s="426">
        <f>SUM(P269:P285)</f>
        <v>1672.8919999999998</v>
      </c>
      <c r="Q286" s="426">
        <f>SUM(Q269:Q285)</f>
        <v>2349.2799999999997</v>
      </c>
      <c r="R286" s="426">
        <f>SUM(R269:R285)</f>
        <v>201.99000000000004</v>
      </c>
      <c r="S286" s="714">
        <f>SUM(S269:S285)</f>
        <v>4224.162</v>
      </c>
      <c r="T286" s="316"/>
      <c r="U286" s="314"/>
      <c r="V286" s="314"/>
      <c r="W286" s="314"/>
      <c r="X286" s="327"/>
      <c r="Y286" s="289">
        <v>0</v>
      </c>
      <c r="Z286" s="289">
        <v>556.49</v>
      </c>
      <c r="AA286" s="289">
        <f>SUM(AA269:AA281)</f>
        <v>886.94</v>
      </c>
      <c r="AB286" s="278"/>
      <c r="AC286" s="581"/>
      <c r="AD286" s="581"/>
      <c r="AE286" s="581"/>
      <c r="AF286" s="582"/>
      <c r="AG286" s="266"/>
      <c r="AH286" s="266"/>
      <c r="AI286" s="266"/>
      <c r="AJ286" s="266"/>
      <c r="AK286" s="266"/>
      <c r="AL286" s="266"/>
      <c r="AM286" s="266"/>
      <c r="AN286" s="266"/>
      <c r="AO286" s="266"/>
      <c r="AP286" s="266"/>
      <c r="AQ286" s="266"/>
      <c r="AR286" s="266"/>
      <c r="AS286" s="266"/>
    </row>
    <row r="287" spans="1:45" ht="68.25" customHeight="1">
      <c r="A287" s="319" t="s">
        <v>83</v>
      </c>
      <c r="B287" s="667" t="s">
        <v>319</v>
      </c>
      <c r="C287" s="529" t="s">
        <v>138</v>
      </c>
      <c r="D287" s="560">
        <v>1</v>
      </c>
      <c r="E287" s="392"/>
      <c r="F287" s="667" t="s">
        <v>319</v>
      </c>
      <c r="G287" s="529" t="s">
        <v>138</v>
      </c>
      <c r="H287" s="510">
        <v>1</v>
      </c>
      <c r="I287" s="362"/>
      <c r="J287" s="314"/>
      <c r="K287" s="314"/>
      <c r="L287" s="314"/>
      <c r="M287" s="314"/>
      <c r="N287" s="303">
        <v>0</v>
      </c>
      <c r="O287" s="428">
        <v>0</v>
      </c>
      <c r="P287" s="314">
        <v>0</v>
      </c>
      <c r="Q287" s="314">
        <v>0</v>
      </c>
      <c r="R287" s="314">
        <v>0</v>
      </c>
      <c r="S287" s="391">
        <v>0</v>
      </c>
      <c r="T287" s="294"/>
      <c r="U287" s="275"/>
      <c r="V287" s="275"/>
      <c r="W287" s="275"/>
      <c r="X287" s="296"/>
      <c r="Y287" s="275">
        <v>0</v>
      </c>
      <c r="Z287" s="275">
        <v>0</v>
      </c>
      <c r="AA287" s="275"/>
      <c r="AB287" s="278"/>
      <c r="AC287" s="330"/>
      <c r="AD287" s="581"/>
      <c r="AE287" s="581"/>
      <c r="AF287" s="582"/>
      <c r="AG287" s="266"/>
      <c r="AH287" s="266"/>
      <c r="AI287" s="266"/>
      <c r="AJ287" s="266"/>
      <c r="AK287" s="266"/>
      <c r="AL287" s="266"/>
      <c r="AM287" s="266"/>
      <c r="AN287" s="266"/>
      <c r="AO287" s="266"/>
      <c r="AP287" s="266"/>
      <c r="AQ287" s="266"/>
      <c r="AR287" s="266"/>
      <c r="AS287" s="266"/>
    </row>
    <row r="288" spans="1:45" s="80" customFormat="1" ht="28.5" customHeight="1">
      <c r="A288" s="282"/>
      <c r="B288" s="341"/>
      <c r="C288" s="577"/>
      <c r="D288" s="572"/>
      <c r="E288" s="385" t="s">
        <v>585</v>
      </c>
      <c r="F288" s="468" t="s">
        <v>419</v>
      </c>
      <c r="G288" s="521" t="s">
        <v>420</v>
      </c>
      <c r="H288" s="487">
        <v>1</v>
      </c>
      <c r="I288" s="320">
        <v>156.82</v>
      </c>
      <c r="J288" s="276">
        <v>2.2</v>
      </c>
      <c r="K288" s="276">
        <v>345</v>
      </c>
      <c r="L288" s="276">
        <v>700</v>
      </c>
      <c r="M288" s="276">
        <v>150</v>
      </c>
      <c r="N288" s="300">
        <v>1195</v>
      </c>
      <c r="O288" s="424">
        <v>156.82</v>
      </c>
      <c r="P288" s="277">
        <v>345</v>
      </c>
      <c r="Q288" s="277">
        <v>700</v>
      </c>
      <c r="R288" s="277">
        <v>150</v>
      </c>
      <c r="S288" s="369">
        <v>1195</v>
      </c>
      <c r="T288" s="321"/>
      <c r="U288" s="304"/>
      <c r="V288" s="304"/>
      <c r="W288" s="304"/>
      <c r="X288" s="341"/>
      <c r="Y288" s="275">
        <v>0</v>
      </c>
      <c r="Z288" s="275">
        <v>0</v>
      </c>
      <c r="AA288" s="275">
        <f>S288-X288-Z288</f>
        <v>1195</v>
      </c>
      <c r="AB288" s="278" t="s">
        <v>437</v>
      </c>
      <c r="AC288" s="587"/>
      <c r="AD288" s="587"/>
      <c r="AE288" s="587"/>
      <c r="AF288" s="587"/>
      <c r="AG288" s="340"/>
      <c r="AH288" s="340"/>
      <c r="AI288" s="340"/>
      <c r="AJ288" s="340"/>
      <c r="AK288" s="340"/>
      <c r="AL288" s="340"/>
      <c r="AM288" s="340"/>
      <c r="AN288" s="340"/>
      <c r="AO288" s="340"/>
      <c r="AP288" s="340"/>
      <c r="AQ288" s="340"/>
      <c r="AR288" s="340"/>
      <c r="AS288" s="340"/>
    </row>
    <row r="289" spans="1:45" ht="15" customHeight="1">
      <c r="A289" s="281" t="s">
        <v>320</v>
      </c>
      <c r="B289" s="446" t="s">
        <v>321</v>
      </c>
      <c r="C289" s="518" t="s">
        <v>138</v>
      </c>
      <c r="D289" s="552">
        <v>1</v>
      </c>
      <c r="E289" s="372"/>
      <c r="F289" s="446" t="s">
        <v>321</v>
      </c>
      <c r="G289" s="518" t="s">
        <v>138</v>
      </c>
      <c r="H289" s="486">
        <v>1</v>
      </c>
      <c r="I289" s="343"/>
      <c r="J289" s="277"/>
      <c r="K289" s="277"/>
      <c r="L289" s="277"/>
      <c r="M289" s="277"/>
      <c r="N289" s="300">
        <v>0</v>
      </c>
      <c r="O289" s="424">
        <v>0</v>
      </c>
      <c r="P289" s="277">
        <v>0</v>
      </c>
      <c r="Q289" s="277">
        <v>0</v>
      </c>
      <c r="R289" s="277">
        <v>0</v>
      </c>
      <c r="S289" s="369">
        <v>0</v>
      </c>
      <c r="T289" s="294"/>
      <c r="U289" s="275"/>
      <c r="V289" s="275"/>
      <c r="W289" s="275"/>
      <c r="X289" s="296"/>
      <c r="Y289" s="275">
        <v>0</v>
      </c>
      <c r="Z289" s="275">
        <v>0</v>
      </c>
      <c r="AA289" s="275">
        <f aca="true" t="shared" si="87" ref="AA289:AA297">S289-X289-Z289</f>
        <v>0</v>
      </c>
      <c r="AB289" s="278"/>
      <c r="AC289" s="330"/>
      <c r="AD289" s="581"/>
      <c r="AE289" s="581"/>
      <c r="AF289" s="582"/>
      <c r="AG289" s="266"/>
      <c r="AH289" s="266"/>
      <c r="AI289" s="266"/>
      <c r="AJ289" s="266"/>
      <c r="AK289" s="266"/>
      <c r="AL289" s="266"/>
      <c r="AM289" s="266"/>
      <c r="AN289" s="266"/>
      <c r="AO289" s="266"/>
      <c r="AP289" s="266"/>
      <c r="AQ289" s="266"/>
      <c r="AR289" s="266"/>
      <c r="AS289" s="266"/>
    </row>
    <row r="290" spans="1:45" ht="15" customHeight="1">
      <c r="A290" s="281" t="s">
        <v>322</v>
      </c>
      <c r="B290" s="478" t="s">
        <v>288</v>
      </c>
      <c r="C290" s="521"/>
      <c r="D290" s="552"/>
      <c r="E290" s="372"/>
      <c r="F290" s="478" t="s">
        <v>288</v>
      </c>
      <c r="G290" s="521"/>
      <c r="H290" s="486"/>
      <c r="I290" s="343"/>
      <c r="J290" s="277"/>
      <c r="K290" s="277"/>
      <c r="L290" s="277"/>
      <c r="M290" s="277"/>
      <c r="N290" s="300"/>
      <c r="O290" s="424"/>
      <c r="P290" s="277"/>
      <c r="Q290" s="277"/>
      <c r="R290" s="277"/>
      <c r="S290" s="369"/>
      <c r="T290" s="294"/>
      <c r="U290" s="275"/>
      <c r="V290" s="275"/>
      <c r="W290" s="275"/>
      <c r="X290" s="296"/>
      <c r="Y290" s="275">
        <v>0</v>
      </c>
      <c r="Z290" s="275">
        <v>0</v>
      </c>
      <c r="AA290" s="275">
        <f t="shared" si="87"/>
        <v>0</v>
      </c>
      <c r="AB290" s="278"/>
      <c r="AC290" s="330"/>
      <c r="AD290" s="581"/>
      <c r="AE290" s="581"/>
      <c r="AF290" s="582"/>
      <c r="AG290" s="266"/>
      <c r="AH290" s="266"/>
      <c r="AI290" s="266"/>
      <c r="AJ290" s="266"/>
      <c r="AK290" s="266"/>
      <c r="AL290" s="266"/>
      <c r="AM290" s="266"/>
      <c r="AN290" s="266"/>
      <c r="AO290" s="266"/>
      <c r="AP290" s="266"/>
      <c r="AQ290" s="266"/>
      <c r="AR290" s="266"/>
      <c r="AS290" s="266"/>
    </row>
    <row r="291" spans="1:45" ht="15" customHeight="1">
      <c r="A291" s="281" t="s">
        <v>323</v>
      </c>
      <c r="B291" s="479" t="s">
        <v>292</v>
      </c>
      <c r="C291" s="521" t="s">
        <v>3</v>
      </c>
      <c r="D291" s="552">
        <v>230</v>
      </c>
      <c r="E291" s="372"/>
      <c r="F291" s="479" t="s">
        <v>292</v>
      </c>
      <c r="G291" s="521" t="s">
        <v>3</v>
      </c>
      <c r="H291" s="486">
        <v>230</v>
      </c>
      <c r="I291" s="320">
        <v>0.20454545454545453</v>
      </c>
      <c r="J291" s="277">
        <v>2.2</v>
      </c>
      <c r="K291" s="276">
        <v>0.45</v>
      </c>
      <c r="L291" s="276"/>
      <c r="M291" s="276">
        <v>0.38</v>
      </c>
      <c r="N291" s="300">
        <v>0.83</v>
      </c>
      <c r="O291" s="424">
        <f aca="true" t="shared" si="88" ref="O291:O297">H291*I291</f>
        <v>47.04545454545454</v>
      </c>
      <c r="P291" s="277">
        <f aca="true" t="shared" si="89" ref="P291:P297">H291*K291</f>
        <v>103.5</v>
      </c>
      <c r="Q291" s="277">
        <f aca="true" t="shared" si="90" ref="Q291:Q297">H291*L291</f>
        <v>0</v>
      </c>
      <c r="R291" s="277">
        <f aca="true" t="shared" si="91" ref="R291:R297">H291*M291</f>
        <v>87.4</v>
      </c>
      <c r="S291" s="369">
        <f aca="true" t="shared" si="92" ref="S291:S297">P291+Q291+R291</f>
        <v>190.9</v>
      </c>
      <c r="T291" s="294"/>
      <c r="U291" s="275"/>
      <c r="V291" s="275"/>
      <c r="W291" s="275"/>
      <c r="X291" s="296"/>
      <c r="Y291" s="275">
        <v>210</v>
      </c>
      <c r="Z291" s="275">
        <v>174.3</v>
      </c>
      <c r="AA291" s="275">
        <f t="shared" si="87"/>
        <v>16.599999999999994</v>
      </c>
      <c r="AB291" s="278"/>
      <c r="AC291" s="330"/>
      <c r="AD291" s="581"/>
      <c r="AE291" s="581"/>
      <c r="AF291" s="582"/>
      <c r="AG291" s="266"/>
      <c r="AH291" s="266"/>
      <c r="AI291" s="266"/>
      <c r="AJ291" s="266"/>
      <c r="AK291" s="266"/>
      <c r="AL291" s="266"/>
      <c r="AM291" s="266"/>
      <c r="AN291" s="266"/>
      <c r="AO291" s="266"/>
      <c r="AP291" s="266"/>
      <c r="AQ291" s="266"/>
      <c r="AR291" s="266"/>
      <c r="AS291" s="266"/>
    </row>
    <row r="292" spans="1:45" ht="15" customHeight="1">
      <c r="A292" s="281" t="s">
        <v>324</v>
      </c>
      <c r="B292" s="449" t="s">
        <v>289</v>
      </c>
      <c r="C292" s="518" t="s">
        <v>8</v>
      </c>
      <c r="D292" s="552">
        <v>1</v>
      </c>
      <c r="E292" s="372"/>
      <c r="F292" s="449" t="s">
        <v>289</v>
      </c>
      <c r="G292" s="518" t="s">
        <v>8</v>
      </c>
      <c r="H292" s="486">
        <v>1</v>
      </c>
      <c r="I292" s="320">
        <v>6.8181818181818175</v>
      </c>
      <c r="J292" s="277">
        <v>2.2</v>
      </c>
      <c r="K292" s="276">
        <v>15</v>
      </c>
      <c r="L292" s="276">
        <v>20</v>
      </c>
      <c r="M292" s="276">
        <v>3</v>
      </c>
      <c r="N292" s="300">
        <v>38</v>
      </c>
      <c r="O292" s="424">
        <f t="shared" si="88"/>
        <v>6.8181818181818175</v>
      </c>
      <c r="P292" s="277">
        <f t="shared" si="89"/>
        <v>15</v>
      </c>
      <c r="Q292" s="277">
        <f t="shared" si="90"/>
        <v>20</v>
      </c>
      <c r="R292" s="277">
        <f t="shared" si="91"/>
        <v>3</v>
      </c>
      <c r="S292" s="369">
        <f t="shared" si="92"/>
        <v>38</v>
      </c>
      <c r="T292" s="294"/>
      <c r="U292" s="275"/>
      <c r="V292" s="275"/>
      <c r="W292" s="275"/>
      <c r="X292" s="296"/>
      <c r="Y292" s="275">
        <v>1</v>
      </c>
      <c r="Z292" s="275">
        <v>38</v>
      </c>
      <c r="AA292" s="275">
        <f t="shared" si="87"/>
        <v>0</v>
      </c>
      <c r="AB292" s="278"/>
      <c r="AC292" s="330"/>
      <c r="AD292" s="581"/>
      <c r="AE292" s="581"/>
      <c r="AF292" s="582"/>
      <c r="AG292" s="266"/>
      <c r="AH292" s="266"/>
      <c r="AI292" s="266"/>
      <c r="AJ292" s="266"/>
      <c r="AK292" s="266"/>
      <c r="AL292" s="266"/>
      <c r="AM292" s="266"/>
      <c r="AN292" s="266"/>
      <c r="AO292" s="266"/>
      <c r="AP292" s="266"/>
      <c r="AQ292" s="266"/>
      <c r="AR292" s="266"/>
      <c r="AS292" s="266"/>
    </row>
    <row r="293" spans="1:45" ht="15" customHeight="1">
      <c r="A293" s="281" t="s">
        <v>325</v>
      </c>
      <c r="B293" s="449" t="s">
        <v>90</v>
      </c>
      <c r="C293" s="518" t="s">
        <v>10</v>
      </c>
      <c r="D293" s="552">
        <v>1</v>
      </c>
      <c r="E293" s="372"/>
      <c r="F293" s="449" t="s">
        <v>90</v>
      </c>
      <c r="G293" s="518" t="s">
        <v>10</v>
      </c>
      <c r="H293" s="486">
        <v>1</v>
      </c>
      <c r="I293" s="320">
        <v>1.5909090909090908</v>
      </c>
      <c r="J293" s="277">
        <v>2.2</v>
      </c>
      <c r="K293" s="276">
        <v>3.5</v>
      </c>
      <c r="L293" s="276">
        <v>100</v>
      </c>
      <c r="M293" s="276">
        <v>1</v>
      </c>
      <c r="N293" s="300">
        <v>104.5</v>
      </c>
      <c r="O293" s="424">
        <f t="shared" si="88"/>
        <v>1.5909090909090908</v>
      </c>
      <c r="P293" s="277">
        <f t="shared" si="89"/>
        <v>3.5</v>
      </c>
      <c r="Q293" s="277">
        <f t="shared" si="90"/>
        <v>100</v>
      </c>
      <c r="R293" s="277">
        <f t="shared" si="91"/>
        <v>1</v>
      </c>
      <c r="S293" s="369">
        <f t="shared" si="92"/>
        <v>104.5</v>
      </c>
      <c r="T293" s="294"/>
      <c r="U293" s="275"/>
      <c r="V293" s="275"/>
      <c r="W293" s="275"/>
      <c r="X293" s="296"/>
      <c r="Y293" s="275">
        <v>1</v>
      </c>
      <c r="Z293" s="275">
        <v>104.5</v>
      </c>
      <c r="AA293" s="275">
        <f t="shared" si="87"/>
        <v>0</v>
      </c>
      <c r="AB293" s="278"/>
      <c r="AC293" s="330"/>
      <c r="AD293" s="581"/>
      <c r="AE293" s="581"/>
      <c r="AF293" s="582"/>
      <c r="AG293" s="266"/>
      <c r="AH293" s="266"/>
      <c r="AI293" s="266"/>
      <c r="AJ293" s="266"/>
      <c r="AK293" s="266"/>
      <c r="AL293" s="266"/>
      <c r="AM293" s="266"/>
      <c r="AN293" s="266"/>
      <c r="AO293" s="266"/>
      <c r="AP293" s="266"/>
      <c r="AQ293" s="266"/>
      <c r="AR293" s="266"/>
      <c r="AS293" s="266"/>
    </row>
    <row r="294" spans="1:45" ht="15" customHeight="1">
      <c r="A294" s="281" t="s">
        <v>326</v>
      </c>
      <c r="B294" s="479" t="s">
        <v>327</v>
      </c>
      <c r="C294" s="521" t="s">
        <v>8</v>
      </c>
      <c r="D294" s="552">
        <v>3</v>
      </c>
      <c r="E294" s="372"/>
      <c r="F294" s="479" t="s">
        <v>327</v>
      </c>
      <c r="G294" s="521" t="s">
        <v>8</v>
      </c>
      <c r="H294" s="486">
        <v>3</v>
      </c>
      <c r="I294" s="320">
        <v>2.2727272727272725</v>
      </c>
      <c r="J294" s="277">
        <v>2.2</v>
      </c>
      <c r="K294" s="276">
        <v>5</v>
      </c>
      <c r="L294" s="276"/>
      <c r="M294" s="276">
        <v>270</v>
      </c>
      <c r="N294" s="300">
        <v>275</v>
      </c>
      <c r="O294" s="424">
        <f t="shared" si="88"/>
        <v>6.8181818181818175</v>
      </c>
      <c r="P294" s="277">
        <f t="shared" si="89"/>
        <v>15</v>
      </c>
      <c r="Q294" s="277">
        <f t="shared" si="90"/>
        <v>0</v>
      </c>
      <c r="R294" s="277">
        <f t="shared" si="91"/>
        <v>810</v>
      </c>
      <c r="S294" s="369">
        <f t="shared" si="92"/>
        <v>825</v>
      </c>
      <c r="T294" s="294"/>
      <c r="U294" s="275"/>
      <c r="V294" s="275"/>
      <c r="W294" s="275"/>
      <c r="X294" s="296"/>
      <c r="Y294" s="275">
        <v>2</v>
      </c>
      <c r="Z294" s="275">
        <v>550</v>
      </c>
      <c r="AA294" s="275">
        <f t="shared" si="87"/>
        <v>275</v>
      </c>
      <c r="AB294" s="278"/>
      <c r="AC294" s="330"/>
      <c r="AD294" s="581"/>
      <c r="AE294" s="581"/>
      <c r="AF294" s="582"/>
      <c r="AG294" s="266"/>
      <c r="AH294" s="266"/>
      <c r="AI294" s="266"/>
      <c r="AJ294" s="266"/>
      <c r="AK294" s="266"/>
      <c r="AL294" s="266"/>
      <c r="AM294" s="266"/>
      <c r="AN294" s="266"/>
      <c r="AO294" s="266"/>
      <c r="AP294" s="266"/>
      <c r="AQ294" s="266"/>
      <c r="AR294" s="266"/>
      <c r="AS294" s="266"/>
    </row>
    <row r="295" spans="1:45" ht="15" customHeight="1">
      <c r="A295" s="281" t="s">
        <v>328</v>
      </c>
      <c r="B295" s="479" t="s">
        <v>290</v>
      </c>
      <c r="C295" s="521" t="s">
        <v>8</v>
      </c>
      <c r="D295" s="552">
        <v>3</v>
      </c>
      <c r="E295" s="372"/>
      <c r="F295" s="479" t="s">
        <v>290</v>
      </c>
      <c r="G295" s="521" t="s">
        <v>8</v>
      </c>
      <c r="H295" s="486">
        <v>3</v>
      </c>
      <c r="I295" s="320">
        <v>4.545454545454545</v>
      </c>
      <c r="J295" s="277">
        <v>2.2</v>
      </c>
      <c r="K295" s="276">
        <v>10</v>
      </c>
      <c r="L295" s="276"/>
      <c r="M295" s="276">
        <v>100</v>
      </c>
      <c r="N295" s="300">
        <v>110</v>
      </c>
      <c r="O295" s="424">
        <f t="shared" si="88"/>
        <v>13.636363636363635</v>
      </c>
      <c r="P295" s="277">
        <f t="shared" si="89"/>
        <v>30</v>
      </c>
      <c r="Q295" s="277">
        <f t="shared" si="90"/>
        <v>0</v>
      </c>
      <c r="R295" s="277">
        <f t="shared" si="91"/>
        <v>300</v>
      </c>
      <c r="S295" s="369">
        <f t="shared" si="92"/>
        <v>330</v>
      </c>
      <c r="T295" s="294"/>
      <c r="U295" s="275"/>
      <c r="V295" s="275"/>
      <c r="W295" s="275"/>
      <c r="X295" s="296"/>
      <c r="Y295" s="275">
        <v>2</v>
      </c>
      <c r="Z295" s="275">
        <v>220</v>
      </c>
      <c r="AA295" s="275">
        <f t="shared" si="87"/>
        <v>110</v>
      </c>
      <c r="AB295" s="278"/>
      <c r="AC295" s="330"/>
      <c r="AD295" s="581"/>
      <c r="AE295" s="581"/>
      <c r="AF295" s="582"/>
      <c r="AG295" s="266"/>
      <c r="AH295" s="266"/>
      <c r="AI295" s="266"/>
      <c r="AJ295" s="266"/>
      <c r="AK295" s="266"/>
      <c r="AL295" s="266"/>
      <c r="AM295" s="266"/>
      <c r="AN295" s="266"/>
      <c r="AO295" s="266"/>
      <c r="AP295" s="266"/>
      <c r="AQ295" s="266"/>
      <c r="AR295" s="266"/>
      <c r="AS295" s="266"/>
    </row>
    <row r="296" spans="1:45" ht="15" customHeight="1">
      <c r="A296" s="281" t="s">
        <v>329</v>
      </c>
      <c r="B296" s="479" t="s">
        <v>291</v>
      </c>
      <c r="C296" s="521" t="s">
        <v>8</v>
      </c>
      <c r="D296" s="552">
        <v>1</v>
      </c>
      <c r="E296" s="372"/>
      <c r="F296" s="479" t="s">
        <v>291</v>
      </c>
      <c r="G296" s="521" t="s">
        <v>8</v>
      </c>
      <c r="H296" s="486">
        <v>1</v>
      </c>
      <c r="I296" s="343"/>
      <c r="J296" s="277"/>
      <c r="K296" s="277"/>
      <c r="L296" s="277"/>
      <c r="M296" s="277">
        <v>135</v>
      </c>
      <c r="N296" s="300">
        <v>135</v>
      </c>
      <c r="O296" s="424">
        <f t="shared" si="88"/>
        <v>0</v>
      </c>
      <c r="P296" s="277">
        <f t="shared" si="89"/>
        <v>0</v>
      </c>
      <c r="Q296" s="277">
        <f t="shared" si="90"/>
        <v>0</v>
      </c>
      <c r="R296" s="277">
        <f t="shared" si="91"/>
        <v>135</v>
      </c>
      <c r="S296" s="369">
        <f t="shared" si="92"/>
        <v>135</v>
      </c>
      <c r="T296" s="294"/>
      <c r="U296" s="275"/>
      <c r="V296" s="275"/>
      <c r="W296" s="275"/>
      <c r="X296" s="296"/>
      <c r="Y296" s="275">
        <v>0.75</v>
      </c>
      <c r="Z296" s="275">
        <v>101.25</v>
      </c>
      <c r="AA296" s="275">
        <f t="shared" si="87"/>
        <v>33.75</v>
      </c>
      <c r="AB296" s="278"/>
      <c r="AC296" s="330"/>
      <c r="AD296" s="581"/>
      <c r="AE296" s="581"/>
      <c r="AF296" s="582"/>
      <c r="AG296" s="266"/>
      <c r="AH296" s="266"/>
      <c r="AI296" s="266"/>
      <c r="AJ296" s="266"/>
      <c r="AK296" s="266"/>
      <c r="AL296" s="266"/>
      <c r="AM296" s="266"/>
      <c r="AN296" s="266"/>
      <c r="AO296" s="266"/>
      <c r="AP296" s="266"/>
      <c r="AQ296" s="266"/>
      <c r="AR296" s="266"/>
      <c r="AS296" s="266"/>
    </row>
    <row r="297" spans="1:45" ht="13.5" thickBot="1">
      <c r="A297" s="284" t="s">
        <v>330</v>
      </c>
      <c r="B297" s="480" t="s">
        <v>136</v>
      </c>
      <c r="C297" s="527" t="s">
        <v>82</v>
      </c>
      <c r="D297" s="554">
        <v>1</v>
      </c>
      <c r="E297" s="704"/>
      <c r="F297" s="480" t="s">
        <v>136</v>
      </c>
      <c r="G297" s="527" t="s">
        <v>82</v>
      </c>
      <c r="H297" s="496">
        <v>1</v>
      </c>
      <c r="I297" s="360">
        <v>68.18181818181817</v>
      </c>
      <c r="J297" s="287">
        <v>2.2</v>
      </c>
      <c r="K297" s="286">
        <v>150</v>
      </c>
      <c r="L297" s="286">
        <v>20</v>
      </c>
      <c r="M297" s="286">
        <v>30</v>
      </c>
      <c r="N297" s="355">
        <v>200</v>
      </c>
      <c r="O297" s="425">
        <f t="shared" si="88"/>
        <v>68.18181818181817</v>
      </c>
      <c r="P297" s="287">
        <f t="shared" si="89"/>
        <v>150</v>
      </c>
      <c r="Q297" s="287">
        <f t="shared" si="90"/>
        <v>20</v>
      </c>
      <c r="R297" s="287">
        <f t="shared" si="91"/>
        <v>30</v>
      </c>
      <c r="S297" s="378">
        <f t="shared" si="92"/>
        <v>200</v>
      </c>
      <c r="T297" s="358"/>
      <c r="U297" s="285"/>
      <c r="V297" s="285"/>
      <c r="W297" s="285"/>
      <c r="X297" s="326"/>
      <c r="Y297" s="285">
        <v>0.75</v>
      </c>
      <c r="Z297" s="285">
        <v>150</v>
      </c>
      <c r="AA297" s="285">
        <f t="shared" si="87"/>
        <v>50</v>
      </c>
      <c r="AB297" s="278"/>
      <c r="AC297" s="330"/>
      <c r="AD297" s="581"/>
      <c r="AE297" s="581"/>
      <c r="AF297" s="582"/>
      <c r="AG297" s="266"/>
      <c r="AH297" s="266"/>
      <c r="AI297" s="266"/>
      <c r="AJ297" s="266"/>
      <c r="AK297" s="266"/>
      <c r="AL297" s="266"/>
      <c r="AM297" s="266"/>
      <c r="AN297" s="266"/>
      <c r="AO297" s="266"/>
      <c r="AP297" s="266"/>
      <c r="AQ297" s="266"/>
      <c r="AR297" s="266"/>
      <c r="AS297" s="266"/>
    </row>
    <row r="298" spans="1:45" ht="13.5" thickBot="1">
      <c r="A298" s="335"/>
      <c r="B298" s="481" t="s">
        <v>37</v>
      </c>
      <c r="C298" s="540"/>
      <c r="D298" s="571"/>
      <c r="E298" s="708"/>
      <c r="F298" s="481" t="s">
        <v>37</v>
      </c>
      <c r="G298" s="540"/>
      <c r="H298" s="515"/>
      <c r="I298" s="365"/>
      <c r="J298" s="338"/>
      <c r="K298" s="338"/>
      <c r="L298" s="338"/>
      <c r="M298" s="338"/>
      <c r="N298" s="405"/>
      <c r="O298" s="429">
        <f>SUM(O287:O297)</f>
        <v>300.91090909090906</v>
      </c>
      <c r="P298" s="338">
        <f>SUM(P287:P297)</f>
        <v>662</v>
      </c>
      <c r="Q298" s="338">
        <f>SUM(Q287:Q297)</f>
        <v>840</v>
      </c>
      <c r="R298" s="338">
        <f>SUM(R287:R297)</f>
        <v>1516.4</v>
      </c>
      <c r="S298" s="430">
        <f>SUM(S287:S297)</f>
        <v>3018.4</v>
      </c>
      <c r="T298" s="420"/>
      <c r="U298" s="338"/>
      <c r="V298" s="338"/>
      <c r="W298" s="338"/>
      <c r="X298" s="339"/>
      <c r="Y298" s="309">
        <v>0</v>
      </c>
      <c r="Z298" s="309">
        <v>1338.05</v>
      </c>
      <c r="AA298" s="309">
        <f>SUM(AA289:AA297)</f>
        <v>485.35</v>
      </c>
      <c r="AB298" s="278"/>
      <c r="AC298" s="581"/>
      <c r="AD298" s="581"/>
      <c r="AE298" s="581"/>
      <c r="AF298" s="582"/>
      <c r="AG298" s="266"/>
      <c r="AH298" s="266"/>
      <c r="AI298" s="266"/>
      <c r="AJ298" s="266"/>
      <c r="AK298" s="266"/>
      <c r="AL298" s="266"/>
      <c r="AM298" s="266"/>
      <c r="AN298" s="266"/>
      <c r="AO298" s="266"/>
      <c r="AP298" s="266"/>
      <c r="AQ298" s="266"/>
      <c r="AR298" s="266"/>
      <c r="AS298" s="266"/>
    </row>
    <row r="299" spans="1:45" ht="15.75" customHeight="1" thickBot="1">
      <c r="A299" s="389"/>
      <c r="B299" s="660" t="s">
        <v>354</v>
      </c>
      <c r="C299" s="661"/>
      <c r="D299" s="662"/>
      <c r="E299" s="663"/>
      <c r="F299" s="404"/>
      <c r="G299" s="597"/>
      <c r="H299" s="664"/>
      <c r="I299" s="361"/>
      <c r="J299" s="310"/>
      <c r="K299" s="310"/>
      <c r="L299" s="310"/>
      <c r="M299" s="310"/>
      <c r="N299" s="404"/>
      <c r="O299" s="426">
        <f>O36+O130+O157+O208+O229+O241+O249+O267+O286+O298</f>
        <v>12028.912933580707</v>
      </c>
      <c r="P299" s="669">
        <f>P36+P130+P157+P208+P229+P241+P249+P267+P286+P298</f>
        <v>27283.346053877554</v>
      </c>
      <c r="Q299" s="310">
        <f>Q36+Q130+Q157+Q208+Q229+Q241+Q249+Q267+Q286+Q298</f>
        <v>47673.8062531704</v>
      </c>
      <c r="R299" s="669">
        <f>R36+R130+R157+R208+R229+R241+R249+R267+R286+R298</f>
        <v>6830.813421343537</v>
      </c>
      <c r="S299" s="310">
        <f>S36+S130+S157+S208+S229+S241+S249+S267+S286+S298</f>
        <v>81787.98572839148</v>
      </c>
      <c r="T299" s="589" t="e">
        <f>#REF!+#REF!+#REF!</f>
        <v>#REF!</v>
      </c>
      <c r="U299" s="590" t="e">
        <f>#REF!+#REF!+#REF!</f>
        <v>#REF!</v>
      </c>
      <c r="V299" s="590" t="e">
        <f>#REF!+#REF!+#REF!</f>
        <v>#REF!</v>
      </c>
      <c r="W299" s="590" t="e">
        <f>#REF!+#REF!+#REF!</f>
        <v>#REF!</v>
      </c>
      <c r="X299" s="590" t="e">
        <f>#REF!+#REF!+#REF!</f>
        <v>#REF!</v>
      </c>
      <c r="Y299" s="590" t="e">
        <f>#REF!+#REF!+#REF!</f>
        <v>#REF!</v>
      </c>
      <c r="Z299" s="590" t="e">
        <f>#REF!+#REF!+#REF!</f>
        <v>#REF!</v>
      </c>
      <c r="AA299" s="590" t="e">
        <f>#REF!+#REF!+#REF!</f>
        <v>#REF!</v>
      </c>
      <c r="AB299" s="347" t="e">
        <f>#REF!+#REF!+#REF!</f>
        <v>#REF!</v>
      </c>
      <c r="AC299" s="586"/>
      <c r="AD299" s="586"/>
      <c r="AE299" s="586"/>
      <c r="AF299" s="330"/>
      <c r="AG299" s="266"/>
      <c r="AH299" s="266"/>
      <c r="AI299" s="266"/>
      <c r="AJ299" s="266"/>
      <c r="AK299" s="266"/>
      <c r="AL299" s="266"/>
      <c r="AM299" s="266"/>
      <c r="AN299" s="266"/>
      <c r="AO299" s="266"/>
      <c r="AP299" s="266"/>
      <c r="AQ299" s="266"/>
      <c r="AR299" s="266"/>
      <c r="AS299" s="266"/>
    </row>
    <row r="300" spans="1:45" s="580" customFormat="1" ht="33.75" customHeight="1" thickBot="1">
      <c r="A300" s="344"/>
      <c r="B300" s="652" t="s">
        <v>349</v>
      </c>
      <c r="C300" s="653">
        <v>0.02</v>
      </c>
      <c r="D300" s="588"/>
      <c r="E300" s="657"/>
      <c r="F300" s="654"/>
      <c r="G300" s="655"/>
      <c r="H300" s="588"/>
      <c r="I300" s="656"/>
      <c r="J300" s="344"/>
      <c r="K300" s="344"/>
      <c r="L300" s="344"/>
      <c r="M300" s="344"/>
      <c r="N300" s="398"/>
      <c r="O300" s="657"/>
      <c r="P300" s="658"/>
      <c r="Q300" s="658">
        <f>ROUND(Q299*0.02,2)</f>
        <v>953.48</v>
      </c>
      <c r="R300" s="658"/>
      <c r="S300" s="659">
        <f>Q300</f>
        <v>953.48</v>
      </c>
      <c r="T300" s="587"/>
      <c r="U300" s="587"/>
      <c r="V300" s="582" t="e">
        <f>Q300/Q299*V299</f>
        <v>#REF!</v>
      </c>
      <c r="W300" s="582"/>
      <c r="X300" s="582" t="e">
        <f>V300</f>
        <v>#REF!</v>
      </c>
      <c r="Y300" s="330"/>
      <c r="Z300" s="330">
        <v>734.5518</v>
      </c>
      <c r="AA300" s="330" t="e">
        <f>S300-X300-Z300</f>
        <v>#REF!</v>
      </c>
      <c r="AB300" s="581"/>
      <c r="AC300" s="587"/>
      <c r="AD300" s="587"/>
      <c r="AE300" s="587"/>
      <c r="AF300" s="587"/>
      <c r="AG300" s="587"/>
      <c r="AH300" s="587"/>
      <c r="AI300" s="587"/>
      <c r="AJ300" s="587"/>
      <c r="AK300" s="587"/>
      <c r="AL300" s="587"/>
      <c r="AM300" s="587"/>
      <c r="AN300" s="587"/>
      <c r="AO300" s="587"/>
      <c r="AP300" s="587"/>
      <c r="AQ300" s="587"/>
      <c r="AR300" s="587"/>
      <c r="AS300" s="587"/>
    </row>
    <row r="301" spans="1:45" s="580" customFormat="1" ht="14.25" customHeight="1" thickBot="1">
      <c r="A301" s="668"/>
      <c r="B301" s="651" t="s">
        <v>350</v>
      </c>
      <c r="C301" s="596"/>
      <c r="D301" s="597"/>
      <c r="E301" s="648"/>
      <c r="F301" s="644"/>
      <c r="G301" s="598"/>
      <c r="H301" s="597"/>
      <c r="I301" s="645"/>
      <c r="J301" s="646"/>
      <c r="K301" s="646"/>
      <c r="L301" s="646"/>
      <c r="M301" s="646"/>
      <c r="N301" s="647"/>
      <c r="O301" s="648">
        <f>O299+O300</f>
        <v>12028.912933580707</v>
      </c>
      <c r="P301" s="317">
        <f>P299+P300</f>
        <v>27283.346053877554</v>
      </c>
      <c r="Q301" s="317">
        <f>Q299+Q300</f>
        <v>48627.2862531704</v>
      </c>
      <c r="R301" s="317">
        <f>R299+R300</f>
        <v>6830.813421343537</v>
      </c>
      <c r="S301" s="717">
        <f>S299+S300</f>
        <v>82741.46572839147</v>
      </c>
      <c r="T301" s="582"/>
      <c r="U301" s="582" t="e">
        <f>U299+U300</f>
        <v>#REF!</v>
      </c>
      <c r="V301" s="582" t="e">
        <f>V299+V300</f>
        <v>#REF!</v>
      </c>
      <c r="W301" s="582" t="e">
        <f>W299+W300</f>
        <v>#REF!</v>
      </c>
      <c r="X301" s="582" t="e">
        <f>X299+X300</f>
        <v>#REF!</v>
      </c>
      <c r="Y301" s="330"/>
      <c r="Z301" s="330">
        <v>58011.342260000005</v>
      </c>
      <c r="AA301" s="330" t="e">
        <f>S301-X301-Z301</f>
        <v>#REF!</v>
      </c>
      <c r="AB301" s="587"/>
      <c r="AC301" s="587"/>
      <c r="AD301" s="587"/>
      <c r="AE301" s="587"/>
      <c r="AF301" s="587"/>
      <c r="AG301" s="587"/>
      <c r="AH301" s="587"/>
      <c r="AI301" s="587"/>
      <c r="AJ301" s="587"/>
      <c r="AK301" s="587"/>
      <c r="AL301" s="587"/>
      <c r="AM301" s="587"/>
      <c r="AN301" s="587"/>
      <c r="AO301" s="587"/>
      <c r="AP301" s="587"/>
      <c r="AQ301" s="587"/>
      <c r="AR301" s="587"/>
      <c r="AS301" s="587"/>
    </row>
    <row r="302" spans="1:45" s="580" customFormat="1" ht="14.25" customHeight="1">
      <c r="A302" s="313"/>
      <c r="B302" s="649" t="s">
        <v>351</v>
      </c>
      <c r="C302" s="650">
        <v>0.02</v>
      </c>
      <c r="D302" s="537"/>
      <c r="E302" s="642"/>
      <c r="F302" s="641"/>
      <c r="G302" s="543"/>
      <c r="H302" s="537"/>
      <c r="I302" s="366"/>
      <c r="J302" s="313"/>
      <c r="K302" s="313"/>
      <c r="L302" s="313"/>
      <c r="M302" s="313"/>
      <c r="N302" s="394"/>
      <c r="O302" s="642"/>
      <c r="P302" s="290">
        <f>P301*0.02</f>
        <v>545.6669210775511</v>
      </c>
      <c r="Q302" s="290">
        <f>Q301*0.02</f>
        <v>972.5457250634081</v>
      </c>
      <c r="R302" s="290">
        <f>R301*0.02</f>
        <v>136.61626842687073</v>
      </c>
      <c r="S302" s="393">
        <f>S301*0.02</f>
        <v>1654.8293145678294</v>
      </c>
      <c r="T302" s="582"/>
      <c r="U302" s="582" t="e">
        <f>P302/P301*U301</f>
        <v>#REF!</v>
      </c>
      <c r="V302" s="582" t="e">
        <f>Q302/Q301*V301</f>
        <v>#REF!</v>
      </c>
      <c r="W302" s="582" t="e">
        <f>R302/R301*W301</f>
        <v>#REF!</v>
      </c>
      <c r="X302" s="582" t="e">
        <f>S302/S301*X301</f>
        <v>#REF!</v>
      </c>
      <c r="Y302" s="330"/>
      <c r="Z302" s="330">
        <v>1160.2289115957178</v>
      </c>
      <c r="AA302" s="330" t="e">
        <f>S302-X302-Z302</f>
        <v>#REF!</v>
      </c>
      <c r="AB302" s="587"/>
      <c r="AC302" s="587"/>
      <c r="AD302" s="587"/>
      <c r="AE302" s="587"/>
      <c r="AF302" s="587"/>
      <c r="AG302" s="587"/>
      <c r="AH302" s="587"/>
      <c r="AI302" s="587"/>
      <c r="AJ302" s="587"/>
      <c r="AK302" s="587"/>
      <c r="AL302" s="587"/>
      <c r="AM302" s="587"/>
      <c r="AN302" s="587"/>
      <c r="AO302" s="587"/>
      <c r="AP302" s="587"/>
      <c r="AQ302" s="587"/>
      <c r="AR302" s="587"/>
      <c r="AS302" s="587"/>
    </row>
    <row r="303" spans="1:45" s="580" customFormat="1" ht="14.25" customHeight="1">
      <c r="A303" s="282"/>
      <c r="B303" s="604" t="s">
        <v>352</v>
      </c>
      <c r="C303" s="579">
        <v>0.007</v>
      </c>
      <c r="D303" s="520"/>
      <c r="E303" s="320"/>
      <c r="F303" s="384"/>
      <c r="G303" s="541"/>
      <c r="H303" s="520"/>
      <c r="I303" s="364"/>
      <c r="J303" s="282"/>
      <c r="K303" s="282"/>
      <c r="L303" s="282"/>
      <c r="M303" s="282"/>
      <c r="N303" s="611"/>
      <c r="O303" s="320"/>
      <c r="P303" s="276">
        <f>P301*0.007</f>
        <v>190.9834223771429</v>
      </c>
      <c r="Q303" s="276">
        <f>Q301*0.007</f>
        <v>340.3910037721928</v>
      </c>
      <c r="R303" s="276">
        <f>R301*0.007</f>
        <v>47.81569394940476</v>
      </c>
      <c r="S303" s="371">
        <f>S301*0.007</f>
        <v>579.1902600987403</v>
      </c>
      <c r="T303" s="582"/>
      <c r="U303" s="582" t="e">
        <f>P303/P301*U301</f>
        <v>#REF!</v>
      </c>
      <c r="V303" s="582" t="e">
        <f>Q303/Q301*V301</f>
        <v>#REF!</v>
      </c>
      <c r="W303" s="582" t="e">
        <f>R303/R301*W301</f>
        <v>#REF!</v>
      </c>
      <c r="X303" s="582" t="e">
        <f>S303/S301*X301</f>
        <v>#REF!</v>
      </c>
      <c r="Y303" s="330"/>
      <c r="Z303" s="330">
        <v>406.07034793501873</v>
      </c>
      <c r="AA303" s="330" t="e">
        <f>S303-X303-Z303</f>
        <v>#REF!</v>
      </c>
      <c r="AB303" s="587"/>
      <c r="AC303" s="587"/>
      <c r="AD303" s="587"/>
      <c r="AE303" s="587"/>
      <c r="AF303" s="587"/>
      <c r="AG303" s="587"/>
      <c r="AH303" s="587"/>
      <c r="AI303" s="587"/>
      <c r="AJ303" s="587"/>
      <c r="AK303" s="587"/>
      <c r="AL303" s="587"/>
      <c r="AM303" s="587"/>
      <c r="AN303" s="587"/>
      <c r="AO303" s="587"/>
      <c r="AP303" s="587"/>
      <c r="AQ303" s="587"/>
      <c r="AR303" s="587"/>
      <c r="AS303" s="587"/>
    </row>
    <row r="304" spans="1:45" s="580" customFormat="1" ht="14.25" customHeight="1" thickBot="1">
      <c r="A304" s="637"/>
      <c r="B304" s="631" t="s">
        <v>353</v>
      </c>
      <c r="C304" s="632">
        <v>0.2409</v>
      </c>
      <c r="D304" s="633"/>
      <c r="E304" s="359"/>
      <c r="F304" s="634"/>
      <c r="G304" s="635"/>
      <c r="H304" s="633"/>
      <c r="I304" s="636"/>
      <c r="J304" s="637"/>
      <c r="K304" s="637"/>
      <c r="L304" s="637"/>
      <c r="M304" s="637"/>
      <c r="N304" s="638"/>
      <c r="O304" s="359"/>
      <c r="P304" s="306">
        <f>P301*0.2409</f>
        <v>6572.558064379103</v>
      </c>
      <c r="Q304" s="306"/>
      <c r="R304" s="306"/>
      <c r="S304" s="639">
        <f>P304</f>
        <v>6572.558064379103</v>
      </c>
      <c r="T304" s="582"/>
      <c r="U304" s="582" t="e">
        <f>P304/P301*U301</f>
        <v>#REF!</v>
      </c>
      <c r="V304" s="582"/>
      <c r="W304" s="582"/>
      <c r="X304" s="582" t="e">
        <f>U304</f>
        <v>#REF!</v>
      </c>
      <c r="Y304" s="330"/>
      <c r="Z304" s="330">
        <v>3912.3073121831694</v>
      </c>
      <c r="AA304" s="330" t="e">
        <f>S304-X304-Z304</f>
        <v>#REF!</v>
      </c>
      <c r="AB304" s="587"/>
      <c r="AC304" s="587"/>
      <c r="AD304" s="587"/>
      <c r="AE304" s="587"/>
      <c r="AF304" s="587"/>
      <c r="AG304" s="587"/>
      <c r="AH304" s="587"/>
      <c r="AI304" s="587"/>
      <c r="AJ304" s="587"/>
      <c r="AK304" s="587"/>
      <c r="AL304" s="587"/>
      <c r="AM304" s="587"/>
      <c r="AN304" s="587"/>
      <c r="AO304" s="587"/>
      <c r="AP304" s="587"/>
      <c r="AQ304" s="587"/>
      <c r="AR304" s="587"/>
      <c r="AS304" s="587"/>
    </row>
    <row r="305" spans="1:45" s="580" customFormat="1" ht="14.25" customHeight="1" thickBot="1">
      <c r="A305" s="668"/>
      <c r="B305" s="643" t="s">
        <v>348</v>
      </c>
      <c r="C305" s="596"/>
      <c r="D305" s="597"/>
      <c r="E305" s="648"/>
      <c r="F305" s="644"/>
      <c r="G305" s="598"/>
      <c r="H305" s="597"/>
      <c r="I305" s="645"/>
      <c r="J305" s="646"/>
      <c r="K305" s="646"/>
      <c r="L305" s="646"/>
      <c r="M305" s="646"/>
      <c r="N305" s="647"/>
      <c r="O305" s="648"/>
      <c r="P305" s="325">
        <f>P301+P302+P303+P304</f>
        <v>34592.55446171135</v>
      </c>
      <c r="Q305" s="325">
        <f>Q301+Q302+Q303+Q304</f>
        <v>49940.222982006</v>
      </c>
      <c r="R305" s="325">
        <f>R301+R302+R303+R304</f>
        <v>7015.245383719813</v>
      </c>
      <c r="S305" s="387">
        <f>S301+S302+S303+S304</f>
        <v>91548.04336743715</v>
      </c>
      <c r="T305" s="582"/>
      <c r="U305" s="582" t="e">
        <f>U301+U302+U303+U304</f>
        <v>#REF!</v>
      </c>
      <c r="V305" s="582" t="e">
        <f>V301+V302+V303+V304</f>
        <v>#REF!</v>
      </c>
      <c r="W305" s="582" t="e">
        <f>W301+W302+W303+W304</f>
        <v>#REF!</v>
      </c>
      <c r="X305" s="582" t="e">
        <f>X301+X302+X303+X304</f>
        <v>#REF!</v>
      </c>
      <c r="Y305" s="330"/>
      <c r="Z305" s="330">
        <v>63489.96</v>
      </c>
      <c r="AA305" s="330" t="e">
        <f>AA301+AA302+AA303+AA304-0.01</f>
        <v>#REF!</v>
      </c>
      <c r="AB305" s="587"/>
      <c r="AC305" s="587"/>
      <c r="AD305" s="587"/>
      <c r="AE305" s="587"/>
      <c r="AF305" s="330"/>
      <c r="AG305" s="587"/>
      <c r="AH305" s="587"/>
      <c r="AI305" s="587"/>
      <c r="AJ305" s="587"/>
      <c r="AK305" s="587"/>
      <c r="AL305" s="587"/>
      <c r="AM305" s="587"/>
      <c r="AN305" s="587"/>
      <c r="AO305" s="587"/>
      <c r="AP305" s="587"/>
      <c r="AQ305" s="587"/>
      <c r="AR305" s="587"/>
      <c r="AS305" s="587"/>
    </row>
    <row r="306" spans="1:45" s="580" customFormat="1" ht="14.25" customHeight="1">
      <c r="A306" s="313"/>
      <c r="B306" s="640"/>
      <c r="C306" s="578"/>
      <c r="D306" s="537"/>
      <c r="E306" s="642"/>
      <c r="F306" s="641"/>
      <c r="G306" s="543"/>
      <c r="H306" s="537"/>
      <c r="I306" s="366"/>
      <c r="J306" s="313"/>
      <c r="K306" s="313"/>
      <c r="L306" s="313"/>
      <c r="M306" s="313"/>
      <c r="N306" s="394"/>
      <c r="O306" s="642"/>
      <c r="P306" s="290"/>
      <c r="Q306" s="290"/>
      <c r="R306" s="290"/>
      <c r="S306" s="393"/>
      <c r="T306" s="582"/>
      <c r="U306" s="582"/>
      <c r="V306" s="582"/>
      <c r="W306" s="582"/>
      <c r="X306" s="582"/>
      <c r="Y306" s="330"/>
      <c r="Z306" s="330"/>
      <c r="AA306" s="330"/>
      <c r="AB306" s="587"/>
      <c r="AC306" s="587"/>
      <c r="AD306" s="587"/>
      <c r="AE306" s="587"/>
      <c r="AF306" s="587"/>
      <c r="AG306" s="587"/>
      <c r="AH306" s="587"/>
      <c r="AI306" s="587"/>
      <c r="AJ306" s="587"/>
      <c r="AK306" s="587"/>
      <c r="AL306" s="587"/>
      <c r="AM306" s="587"/>
      <c r="AN306" s="587"/>
      <c r="AO306" s="587"/>
      <c r="AP306" s="587"/>
      <c r="AQ306" s="587"/>
      <c r="AR306" s="587"/>
      <c r="AS306" s="587"/>
    </row>
    <row r="307" spans="1:45" s="580" customFormat="1" ht="14.25" customHeight="1">
      <c r="A307" s="282"/>
      <c r="B307" s="605" t="s">
        <v>405</v>
      </c>
      <c r="C307" s="608"/>
      <c r="D307" s="519"/>
      <c r="E307" s="364"/>
      <c r="F307" s="603"/>
      <c r="G307" s="608"/>
      <c r="H307" s="519"/>
      <c r="I307" s="343"/>
      <c r="J307" s="277"/>
      <c r="K307" s="277"/>
      <c r="L307" s="277"/>
      <c r="M307" s="277"/>
      <c r="N307" s="371"/>
      <c r="O307" s="343"/>
      <c r="P307" s="277"/>
      <c r="Q307" s="277"/>
      <c r="R307" s="277"/>
      <c r="S307" s="369"/>
      <c r="T307" s="582"/>
      <c r="U307" s="582"/>
      <c r="V307" s="582"/>
      <c r="W307" s="582"/>
      <c r="X307" s="591"/>
      <c r="Y307" s="330"/>
      <c r="Z307" s="330"/>
      <c r="AA307" s="330"/>
      <c r="AB307" s="587"/>
      <c r="AC307" s="587"/>
      <c r="AD307" s="587"/>
      <c r="AE307" s="587"/>
      <c r="AF307" s="587"/>
      <c r="AG307" s="587"/>
      <c r="AH307" s="587"/>
      <c r="AI307" s="587"/>
      <c r="AJ307" s="587"/>
      <c r="AK307" s="587"/>
      <c r="AL307" s="587"/>
      <c r="AM307" s="587"/>
      <c r="AN307" s="587"/>
      <c r="AO307" s="587"/>
      <c r="AP307" s="587"/>
      <c r="AQ307" s="587"/>
      <c r="AR307" s="587"/>
      <c r="AS307" s="587"/>
    </row>
    <row r="308" spans="1:27" s="580" customFormat="1" ht="14.25" customHeight="1">
      <c r="A308" s="16"/>
      <c r="B308" s="606" t="s">
        <v>406</v>
      </c>
      <c r="C308" s="544"/>
      <c r="D308" s="609"/>
      <c r="E308" s="607"/>
      <c r="F308" s="610"/>
      <c r="G308" s="544"/>
      <c r="H308" s="609"/>
      <c r="I308" s="367"/>
      <c r="J308" s="2"/>
      <c r="K308" s="2"/>
      <c r="L308" s="2"/>
      <c r="M308" s="2"/>
      <c r="N308" s="612"/>
      <c r="O308" s="367"/>
      <c r="P308" s="2"/>
      <c r="Q308" s="2"/>
      <c r="R308" s="2">
        <v>530</v>
      </c>
      <c r="S308" s="432">
        <v>530</v>
      </c>
      <c r="T308" s="592"/>
      <c r="U308" s="592"/>
      <c r="V308" s="592"/>
      <c r="W308" s="592"/>
      <c r="X308" s="593"/>
      <c r="Y308" s="43"/>
      <c r="Z308" s="43">
        <v>530</v>
      </c>
      <c r="AA308" s="43"/>
    </row>
    <row r="309" spans="1:27" s="580" customFormat="1" ht="14.25" customHeight="1" thickBot="1">
      <c r="A309" s="712"/>
      <c r="B309" s="624" t="s">
        <v>407</v>
      </c>
      <c r="C309" s="625"/>
      <c r="D309" s="626"/>
      <c r="E309" s="709"/>
      <c r="F309" s="627"/>
      <c r="G309" s="625"/>
      <c r="H309" s="626"/>
      <c r="I309" s="628"/>
      <c r="J309" s="629"/>
      <c r="K309" s="629"/>
      <c r="L309" s="629"/>
      <c r="M309" s="629"/>
      <c r="N309" s="630"/>
      <c r="O309" s="628"/>
      <c r="P309" s="629"/>
      <c r="Q309" s="629"/>
      <c r="R309" s="629">
        <v>175</v>
      </c>
      <c r="S309" s="399">
        <v>175</v>
      </c>
      <c r="V309" s="592"/>
      <c r="W309" s="592"/>
      <c r="X309" s="593"/>
      <c r="Y309" s="43"/>
      <c r="Z309" s="43">
        <v>175</v>
      </c>
      <c r="AA309" s="43"/>
    </row>
    <row r="310" spans="1:27" s="580" customFormat="1" ht="14.25" customHeight="1" thickBot="1">
      <c r="A310" s="348"/>
      <c r="B310" s="618" t="s">
        <v>348</v>
      </c>
      <c r="C310" s="619"/>
      <c r="D310" s="620"/>
      <c r="E310" s="710"/>
      <c r="F310" s="621"/>
      <c r="G310" s="619"/>
      <c r="H310" s="620"/>
      <c r="I310" s="622"/>
      <c r="J310" s="400"/>
      <c r="K310" s="400"/>
      <c r="L310" s="400"/>
      <c r="M310" s="400"/>
      <c r="N310" s="623"/>
      <c r="O310" s="622"/>
      <c r="P310" s="400"/>
      <c r="Q310" s="400"/>
      <c r="R310" s="400">
        <v>705</v>
      </c>
      <c r="S310" s="433">
        <v>705</v>
      </c>
      <c r="Y310" s="43"/>
      <c r="Z310" s="43">
        <v>705</v>
      </c>
      <c r="AA310" s="43"/>
    </row>
    <row r="311" spans="1:32" s="9" customFormat="1" ht="13.5" customHeight="1" thickBot="1">
      <c r="A311" s="713"/>
      <c r="B311" s="613" t="s">
        <v>431</v>
      </c>
      <c r="C311" s="601"/>
      <c r="D311" s="600"/>
      <c r="E311" s="615"/>
      <c r="F311" s="614"/>
      <c r="G311" s="602"/>
      <c r="H311" s="600"/>
      <c r="I311" s="615"/>
      <c r="J311" s="616"/>
      <c r="K311" s="616"/>
      <c r="L311" s="616"/>
      <c r="M311" s="616"/>
      <c r="N311" s="617"/>
      <c r="O311" s="615"/>
      <c r="P311" s="401">
        <f>P305+P310</f>
        <v>34592.55446171135</v>
      </c>
      <c r="Q311" s="401">
        <f>Q305+Q310</f>
        <v>49940.222982006</v>
      </c>
      <c r="R311" s="401">
        <f>R305+R310</f>
        <v>7720.245383719813</v>
      </c>
      <c r="S311" s="434">
        <f>S305+S310</f>
        <v>92253.04336743715</v>
      </c>
      <c r="U311" s="43" t="e">
        <f>U305</f>
        <v>#REF!</v>
      </c>
      <c r="V311" s="43" t="e">
        <f>V305</f>
        <v>#REF!</v>
      </c>
      <c r="W311" s="43" t="e">
        <f>W305</f>
        <v>#REF!</v>
      </c>
      <c r="X311" s="43" t="e">
        <f>X305</f>
        <v>#REF!</v>
      </c>
      <c r="Y311" s="43"/>
      <c r="Z311" s="43">
        <v>64194.95883171391</v>
      </c>
      <c r="AA311" s="43" t="e">
        <f>S311-X311-Z311</f>
        <v>#REF!</v>
      </c>
      <c r="AE311" s="43"/>
      <c r="AF311" s="330"/>
    </row>
    <row r="312" spans="1:27" s="9" customFormat="1" ht="13.5" customHeight="1">
      <c r="A312" s="345"/>
      <c r="B312" s="594"/>
      <c r="C312" s="25"/>
      <c r="D312" s="54"/>
      <c r="E312" s="54"/>
      <c r="F312" s="52"/>
      <c r="G312" s="52"/>
      <c r="H312" s="54"/>
      <c r="I312" s="54"/>
      <c r="J312" s="54"/>
      <c r="K312" s="54"/>
      <c r="L312" s="54"/>
      <c r="M312" s="54"/>
      <c r="N312" s="47"/>
      <c r="O312" s="54"/>
      <c r="P312" s="54"/>
      <c r="Q312" s="54"/>
      <c r="R312" s="54"/>
      <c r="S312" s="595"/>
      <c r="U312" s="43"/>
      <c r="V312" s="43"/>
      <c r="W312" s="43"/>
      <c r="X312" s="43"/>
      <c r="AA312" s="43"/>
    </row>
    <row r="313" spans="1:23" s="9" customFormat="1" ht="12.75">
      <c r="A313" s="345"/>
      <c r="B313" s="57" t="s">
        <v>610</v>
      </c>
      <c r="C313" s="58"/>
      <c r="D313" s="54"/>
      <c r="E313" s="54"/>
      <c r="F313" s="52"/>
      <c r="G313" s="52"/>
      <c r="H313" s="716" t="s">
        <v>610</v>
      </c>
      <c r="I313" s="54"/>
      <c r="J313" s="54"/>
      <c r="K313" s="54"/>
      <c r="L313" s="54"/>
      <c r="M313" s="54"/>
      <c r="N313" s="47"/>
      <c r="O313" s="54"/>
      <c r="P313" s="54"/>
      <c r="Q313" s="54"/>
      <c r="R313" s="54"/>
      <c r="S313" s="54"/>
      <c r="U313" s="57" t="s">
        <v>402</v>
      </c>
      <c r="V313" s="59"/>
      <c r="W313" s="58"/>
    </row>
    <row r="314" spans="1:23" s="9" customFormat="1" ht="12.75">
      <c r="A314" s="700"/>
      <c r="B314" s="57" t="s">
        <v>408</v>
      </c>
      <c r="C314" s="58"/>
      <c r="D314" s="345"/>
      <c r="E314" s="345"/>
      <c r="H314" s="715" t="s">
        <v>409</v>
      </c>
      <c r="I314" s="345"/>
      <c r="J314" s="345"/>
      <c r="K314" s="345"/>
      <c r="L314" s="345"/>
      <c r="M314" s="345"/>
      <c r="N314" s="345"/>
      <c r="O314" s="345"/>
      <c r="P314" s="345"/>
      <c r="Q314" s="345"/>
      <c r="R314" s="345"/>
      <c r="S314" s="345"/>
      <c r="U314" s="57" t="s">
        <v>409</v>
      </c>
      <c r="V314" s="58"/>
      <c r="W314" s="58"/>
    </row>
    <row r="315" spans="1:24" s="9" customFormat="1" ht="12.75">
      <c r="A315" s="700"/>
      <c r="B315" s="60" t="s">
        <v>403</v>
      </c>
      <c r="C315" s="58"/>
      <c r="D315" s="345"/>
      <c r="E315" s="345"/>
      <c r="H315" s="715" t="s">
        <v>607</v>
      </c>
      <c r="I315" s="345"/>
      <c r="J315" s="345"/>
      <c r="K315" s="345"/>
      <c r="L315" s="345"/>
      <c r="M315" s="345"/>
      <c r="N315" s="345"/>
      <c r="O315" s="345"/>
      <c r="P315" s="345"/>
      <c r="Q315" s="345"/>
      <c r="R315" s="345"/>
      <c r="S315" s="345"/>
      <c r="U315" s="60" t="s">
        <v>410</v>
      </c>
      <c r="V315" s="58"/>
      <c r="W315" s="58"/>
      <c r="X315" s="43"/>
    </row>
    <row r="316" spans="1:23" s="9" customFormat="1" ht="12.75">
      <c r="A316" s="700"/>
      <c r="B316" s="60" t="s">
        <v>413</v>
      </c>
      <c r="C316" s="58"/>
      <c r="D316" s="345"/>
      <c r="E316" s="345"/>
      <c r="H316" s="715" t="s">
        <v>411</v>
      </c>
      <c r="I316" s="345"/>
      <c r="J316" s="345"/>
      <c r="K316" s="345"/>
      <c r="L316" s="345"/>
      <c r="M316" s="345"/>
      <c r="N316" s="345"/>
      <c r="O316" s="345"/>
      <c r="P316" s="345"/>
      <c r="Q316" s="345"/>
      <c r="R316" s="345"/>
      <c r="S316" s="345"/>
      <c r="U316" s="60" t="s">
        <v>411</v>
      </c>
      <c r="V316" s="58"/>
      <c r="W316" s="58"/>
    </row>
    <row r="317" spans="2:26" ht="12.75">
      <c r="B317" s="61" t="s">
        <v>414</v>
      </c>
      <c r="C317" s="62"/>
      <c r="H317" s="699" t="s">
        <v>608</v>
      </c>
      <c r="I317" s="346"/>
      <c r="J317" s="346"/>
      <c r="K317" s="346"/>
      <c r="L317" s="346"/>
      <c r="M317" s="346"/>
      <c r="N317" s="346"/>
      <c r="O317" s="346"/>
      <c r="P317" s="346"/>
      <c r="Q317" s="346"/>
      <c r="R317" s="346"/>
      <c r="S317" s="346"/>
      <c r="U317" s="61" t="s">
        <v>404</v>
      </c>
      <c r="V317" s="62"/>
      <c r="W317" s="62" t="s">
        <v>412</v>
      </c>
      <c r="Z317" s="40"/>
    </row>
    <row r="318" spans="2:23" ht="12.75">
      <c r="B318" s="61"/>
      <c r="C318" s="62"/>
      <c r="H318" s="3"/>
      <c r="U318" s="63"/>
      <c r="V318" s="62"/>
      <c r="W318" s="62"/>
    </row>
    <row r="319" spans="2:23" ht="12.75">
      <c r="B319" s="62" t="s">
        <v>606</v>
      </c>
      <c r="C319" s="62"/>
      <c r="H319" s="26" t="s">
        <v>609</v>
      </c>
      <c r="U319" s="62" t="s">
        <v>436</v>
      </c>
      <c r="V319" s="62"/>
      <c r="W319" s="62"/>
    </row>
  </sheetData>
  <sheetProtection/>
  <mergeCells count="59">
    <mergeCell ref="E14:F16"/>
    <mergeCell ref="G13:H13"/>
    <mergeCell ref="AC117:AC119"/>
    <mergeCell ref="AD62:AD64"/>
    <mergeCell ref="G14:G16"/>
    <mergeCell ref="H14:H16"/>
    <mergeCell ref="AB90:AB93"/>
    <mergeCell ref="AB94:AB96"/>
    <mergeCell ref="AB81:AB85"/>
    <mergeCell ref="AB97:AB99"/>
    <mergeCell ref="AB254:AB256"/>
    <mergeCell ref="AB257:AB262"/>
    <mergeCell ref="AB269:AB273"/>
    <mergeCell ref="AB112:AB114"/>
    <mergeCell ref="AB236:AB240"/>
    <mergeCell ref="AB116:AB117"/>
    <mergeCell ref="AB118:AB120"/>
    <mergeCell ref="AB160:AB161"/>
    <mergeCell ref="AB193:AB195"/>
    <mergeCell ref="Y14:Z14"/>
    <mergeCell ref="AB209:AB228"/>
    <mergeCell ref="AB86:AB89"/>
    <mergeCell ref="AB78:AB80"/>
    <mergeCell ref="S15:S16"/>
    <mergeCell ref="V15:V16"/>
    <mergeCell ref="Z15:Z16"/>
    <mergeCell ref="U15:U16"/>
    <mergeCell ref="AB62:AB64"/>
    <mergeCell ref="AB199:AB201"/>
    <mergeCell ref="A5:S5"/>
    <mergeCell ref="B10:O10"/>
    <mergeCell ref="R10:S10"/>
    <mergeCell ref="M15:M16"/>
    <mergeCell ref="N15:N16"/>
    <mergeCell ref="O15:O16"/>
    <mergeCell ref="Q15:Q16"/>
    <mergeCell ref="R15:R16"/>
    <mergeCell ref="I14:N14"/>
    <mergeCell ref="C13:D13"/>
    <mergeCell ref="AA14:AA16"/>
    <mergeCell ref="T15:T16"/>
    <mergeCell ref="L15:L16"/>
    <mergeCell ref="B8:O8"/>
    <mergeCell ref="W15:W16"/>
    <mergeCell ref="X15:X16"/>
    <mergeCell ref="Y15:Y16"/>
    <mergeCell ref="P15:P16"/>
    <mergeCell ref="T14:X14"/>
    <mergeCell ref="R9:S9"/>
    <mergeCell ref="A3:AA3"/>
    <mergeCell ref="O14:S14"/>
    <mergeCell ref="I15:I16"/>
    <mergeCell ref="J15:J16"/>
    <mergeCell ref="K15:K16"/>
    <mergeCell ref="A4:AA4"/>
    <mergeCell ref="B14:B16"/>
    <mergeCell ref="A14:A16"/>
    <mergeCell ref="C14:C16"/>
    <mergeCell ref="D14:D16"/>
  </mergeCells>
  <conditionalFormatting sqref="G16 C16:C17 D17:H17 C29:D29 G29:H29">
    <cfRule type="expression" priority="1" dxfId="0" stopIfTrue="1">
      <formula>#REF!=""</formula>
    </cfRule>
  </conditionalFormatting>
  <hyperlinks>
    <hyperlink ref="A287" r:id="rId1" tooltip="Watt" display="http://en.wikipedia.org/wiki/Watt"/>
    <hyperlink ref="B287" r:id="rId2" tooltip="Watt" display="http://en.wikipedia.org/wiki/Watt"/>
    <hyperlink ref="A289" r:id="rId3" tooltip="Watt" display="http://en.wikipedia.org/wiki/Watt"/>
    <hyperlink ref="B289" r:id="rId4" tooltip="Watt" display="http://en.wikipedia.org/wiki/Watt"/>
    <hyperlink ref="F287" r:id="rId5" tooltip="Watt" display="http://en.wikipedia.org/wiki/Watt"/>
    <hyperlink ref="F289" r:id="rId6" tooltip="Watt" display="http://en.wikipedia.org/wiki/Watt"/>
  </hyperlinks>
  <printOptions/>
  <pageMargins left="0.6692913385826772" right="0.15748031496062992" top="0.5511811023622047" bottom="0.15748031496062992" header="0.1968503937007874" footer="0.1968503937007874"/>
  <pageSetup horizontalDpi="600" verticalDpi="600" orientation="landscape" paperSize="8" scale="95"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2"/>
  <sheetViews>
    <sheetView tabSelected="1" view="pageBreakPreview" zoomScale="90" zoomScaleNormal="90" zoomScaleSheetLayoutView="90" zoomScalePageLayoutView="0" workbookViewId="0" topLeftCell="A34">
      <selection activeCell="A5" sqref="A5"/>
    </sheetView>
  </sheetViews>
  <sheetFormatPr defaultColWidth="9.00390625" defaultRowHeight="12.75"/>
  <cols>
    <col min="1" max="1" width="6.625" style="346" customWidth="1"/>
    <col min="2" max="2" width="73.125" style="8" customWidth="1"/>
    <col min="3" max="3" width="7.75390625" style="8" customWidth="1"/>
    <col min="4" max="4" width="7.375" style="8" customWidth="1"/>
    <col min="5" max="5" width="20.25390625" style="9" bestFit="1" customWidth="1"/>
    <col min="6" max="6" width="38.00390625" style="9" bestFit="1" customWidth="1"/>
    <col min="7" max="7" width="27.125" style="9" bestFit="1" customWidth="1"/>
    <col min="8" max="8" width="29.625" style="9" bestFit="1" customWidth="1"/>
    <col min="9" max="9" width="22.375" style="9" bestFit="1" customWidth="1"/>
    <col min="10" max="10" width="20.25390625" style="9" bestFit="1" customWidth="1"/>
    <col min="11" max="11" width="22.375" style="9" bestFit="1" customWidth="1"/>
    <col min="12" max="12" width="7.125" style="9" customWidth="1"/>
    <col min="13" max="13" width="7.00390625" style="8" customWidth="1"/>
    <col min="14" max="17" width="9.125" style="9" customWidth="1"/>
    <col min="18" max="23" width="9.125" style="8" customWidth="1"/>
    <col min="24" max="16384" width="9.125" style="8" customWidth="1"/>
  </cols>
  <sheetData>
    <row r="1" spans="1:4" ht="15.75">
      <c r="A1" s="845" t="s">
        <v>390</v>
      </c>
      <c r="C1" s="28"/>
      <c r="D1" s="350"/>
    </row>
    <row r="2" spans="1:4" ht="13.5" customHeight="1">
      <c r="A2" s="846" t="s">
        <v>391</v>
      </c>
      <c r="C2" s="26"/>
      <c r="D2" s="351"/>
    </row>
    <row r="3" spans="1:4" ht="14.25" customHeight="1">
      <c r="A3" s="847" t="s">
        <v>392</v>
      </c>
      <c r="C3" s="724"/>
      <c r="D3" s="724"/>
    </row>
    <row r="4" spans="1:4" ht="14.25" customHeight="1">
      <c r="A4" s="848" t="s">
        <v>630</v>
      </c>
      <c r="C4" s="3"/>
      <c r="D4" s="351"/>
    </row>
    <row r="5" spans="2:4" ht="14.25" customHeight="1">
      <c r="B5" s="724"/>
      <c r="C5" s="724"/>
      <c r="D5" s="724"/>
    </row>
    <row r="6" spans="1:4" ht="12.75">
      <c r="A6" s="345"/>
      <c r="B6" s="25"/>
      <c r="C6" s="849"/>
      <c r="D6" s="849"/>
    </row>
    <row r="7" spans="1:12" ht="34.5" customHeight="1">
      <c r="A7" s="850" t="s">
        <v>1</v>
      </c>
      <c r="B7" s="850"/>
      <c r="C7" s="851" t="s">
        <v>332</v>
      </c>
      <c r="D7" s="851" t="s">
        <v>333</v>
      </c>
      <c r="E7" s="841"/>
      <c r="F7" s="841"/>
      <c r="G7" s="841"/>
      <c r="H7" s="841"/>
      <c r="I7" s="841"/>
      <c r="J7" s="842"/>
      <c r="K7" s="842"/>
      <c r="L7" s="843"/>
    </row>
    <row r="8" spans="1:12" ht="12.75" customHeight="1">
      <c r="A8" s="850"/>
      <c r="B8" s="850"/>
      <c r="C8" s="851"/>
      <c r="D8" s="851"/>
      <c r="E8" s="844"/>
      <c r="F8" s="844"/>
      <c r="G8" s="844"/>
      <c r="H8" s="844"/>
      <c r="I8" s="844"/>
      <c r="J8" s="844"/>
      <c r="K8" s="844"/>
      <c r="L8" s="843"/>
    </row>
    <row r="9" spans="1:14" ht="11.25" customHeight="1">
      <c r="A9" s="850"/>
      <c r="B9" s="850"/>
      <c r="C9" s="851"/>
      <c r="D9" s="851"/>
      <c r="E9" s="844"/>
      <c r="F9" s="844"/>
      <c r="G9" s="844"/>
      <c r="H9" s="844"/>
      <c r="I9" s="844"/>
      <c r="J9" s="844"/>
      <c r="K9" s="844"/>
      <c r="L9" s="843"/>
      <c r="N9" s="25"/>
    </row>
    <row r="10" spans="1:30" ht="14.25" customHeight="1">
      <c r="A10" s="852">
        <v>1</v>
      </c>
      <c r="B10" s="853">
        <v>2</v>
      </c>
      <c r="C10" s="853">
        <v>3</v>
      </c>
      <c r="D10" s="853">
        <v>4</v>
      </c>
      <c r="E10" s="725"/>
      <c r="F10" s="725"/>
      <c r="G10" s="725"/>
      <c r="H10" s="725"/>
      <c r="I10" s="725"/>
      <c r="J10" s="726"/>
      <c r="K10" s="726"/>
      <c r="L10" s="726"/>
      <c r="M10" s="266"/>
      <c r="N10" s="581"/>
      <c r="O10" s="581"/>
      <c r="P10" s="581"/>
      <c r="Q10" s="581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</row>
    <row r="11" spans="1:41" s="79" customFormat="1" ht="15" customHeight="1">
      <c r="A11" s="281" t="s">
        <v>594</v>
      </c>
      <c r="B11" s="854" t="s">
        <v>565</v>
      </c>
      <c r="C11" s="855" t="s">
        <v>4</v>
      </c>
      <c r="D11" s="277">
        <v>159.36</v>
      </c>
      <c r="E11" s="585"/>
      <c r="F11" s="330"/>
      <c r="G11" s="330"/>
      <c r="H11" s="330"/>
      <c r="I11" s="585"/>
      <c r="J11" s="330"/>
      <c r="K11" s="330"/>
      <c r="L11" s="330"/>
      <c r="M11" s="323"/>
      <c r="N11" s="330"/>
      <c r="O11" s="581"/>
      <c r="P11" s="581"/>
      <c r="Q11" s="582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</row>
    <row r="12" spans="1:41" s="55" customFormat="1" ht="15.75" customHeight="1">
      <c r="A12" s="856" t="s">
        <v>595</v>
      </c>
      <c r="B12" s="857" t="s">
        <v>455</v>
      </c>
      <c r="C12" s="281" t="s">
        <v>6</v>
      </c>
      <c r="D12" s="277">
        <v>5.3</v>
      </c>
      <c r="E12" s="581"/>
      <c r="F12" s="581"/>
      <c r="G12" s="581"/>
      <c r="H12" s="581"/>
      <c r="I12" s="581"/>
      <c r="J12" s="581"/>
      <c r="K12" s="581"/>
      <c r="L12" s="581"/>
      <c r="M12" s="266"/>
      <c r="N12" s="581"/>
      <c r="O12" s="581"/>
      <c r="P12" s="581"/>
      <c r="Q12" s="581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</row>
    <row r="13" spans="1:41" s="55" customFormat="1" ht="15.75" customHeight="1">
      <c r="A13" s="856" t="s">
        <v>596</v>
      </c>
      <c r="B13" s="858" t="s">
        <v>619</v>
      </c>
      <c r="C13" s="281" t="s">
        <v>4</v>
      </c>
      <c r="D13" s="277">
        <f>2.1*1.5*2*1.2*4</f>
        <v>30.240000000000002</v>
      </c>
      <c r="E13" s="581"/>
      <c r="F13" s="581"/>
      <c r="G13" s="581"/>
      <c r="H13" s="581"/>
      <c r="I13" s="581"/>
      <c r="J13" s="581"/>
      <c r="K13" s="581"/>
      <c r="L13" s="581"/>
      <c r="M13" s="266"/>
      <c r="N13" s="581"/>
      <c r="O13" s="581"/>
      <c r="P13" s="581"/>
      <c r="Q13" s="581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</row>
    <row r="14" spans="1:41" s="55" customFormat="1" ht="14.25" customHeight="1">
      <c r="A14" s="856"/>
      <c r="B14" s="859" t="s">
        <v>620</v>
      </c>
      <c r="C14" s="281" t="s">
        <v>4</v>
      </c>
      <c r="D14" s="277">
        <v>1.2</v>
      </c>
      <c r="E14" s="581"/>
      <c r="F14" s="581"/>
      <c r="G14" s="581"/>
      <c r="H14" s="581"/>
      <c r="I14" s="581"/>
      <c r="J14" s="581"/>
      <c r="K14" s="581"/>
      <c r="L14" s="581"/>
      <c r="M14" s="266"/>
      <c r="N14" s="581"/>
      <c r="O14" s="581"/>
      <c r="P14" s="581"/>
      <c r="Q14" s="581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</row>
    <row r="15" spans="1:41" s="55" customFormat="1" ht="14.25" customHeight="1">
      <c r="A15" s="856"/>
      <c r="B15" s="859" t="s">
        <v>621</v>
      </c>
      <c r="C15" s="281" t="s">
        <v>25</v>
      </c>
      <c r="D15" s="277">
        <f>D13*0.15</f>
        <v>4.5360000000000005</v>
      </c>
      <c r="E15" s="581"/>
      <c r="F15" s="581"/>
      <c r="G15" s="581"/>
      <c r="H15" s="581"/>
      <c r="I15" s="581"/>
      <c r="J15" s="581"/>
      <c r="K15" s="581"/>
      <c r="L15" s="581"/>
      <c r="M15" s="266"/>
      <c r="N15" s="581"/>
      <c r="O15" s="581"/>
      <c r="P15" s="581"/>
      <c r="Q15" s="581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</row>
    <row r="16" spans="1:41" s="55" customFormat="1" ht="14.25" customHeight="1">
      <c r="A16" s="856"/>
      <c r="B16" s="859" t="s">
        <v>461</v>
      </c>
      <c r="C16" s="281" t="s">
        <v>18</v>
      </c>
      <c r="D16" s="277">
        <v>3</v>
      </c>
      <c r="E16" s="581"/>
      <c r="F16" s="581"/>
      <c r="G16" s="581"/>
      <c r="H16" s="581"/>
      <c r="I16" s="581"/>
      <c r="J16" s="581"/>
      <c r="K16" s="581"/>
      <c r="L16" s="581"/>
      <c r="M16" s="266"/>
      <c r="N16" s="581"/>
      <c r="O16" s="581"/>
      <c r="P16" s="581"/>
      <c r="Q16" s="581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</row>
    <row r="17" spans="1:41" s="55" customFormat="1" ht="14.25" customHeight="1">
      <c r="A17" s="856"/>
      <c r="B17" s="859" t="s">
        <v>462</v>
      </c>
      <c r="C17" s="281" t="s">
        <v>18</v>
      </c>
      <c r="D17" s="277">
        <f>D13*0.35</f>
        <v>10.584</v>
      </c>
      <c r="E17" s="581"/>
      <c r="F17" s="581"/>
      <c r="G17" s="581"/>
      <c r="H17" s="581"/>
      <c r="I17" s="581"/>
      <c r="J17" s="581"/>
      <c r="K17" s="581"/>
      <c r="L17" s="581"/>
      <c r="M17" s="266"/>
      <c r="N17" s="581"/>
      <c r="O17" s="581"/>
      <c r="P17" s="581"/>
      <c r="Q17" s="581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</row>
    <row r="18" spans="1:30" ht="15" customHeight="1">
      <c r="A18" s="860" t="s">
        <v>599</v>
      </c>
      <c r="B18" s="861" t="s">
        <v>575</v>
      </c>
      <c r="C18" s="862" t="s">
        <v>4</v>
      </c>
      <c r="D18" s="276">
        <v>130</v>
      </c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582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</row>
    <row r="19" spans="1:30" ht="15" customHeight="1">
      <c r="A19" s="863"/>
      <c r="B19" s="864" t="s">
        <v>622</v>
      </c>
      <c r="C19" s="864"/>
      <c r="D19" s="864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330"/>
      <c r="Q19" s="582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</row>
    <row r="20" spans="1:30" ht="18" customHeight="1">
      <c r="A20" s="856"/>
      <c r="B20" s="865" t="s">
        <v>629</v>
      </c>
      <c r="C20" s="866" t="s">
        <v>10</v>
      </c>
      <c r="D20" s="867">
        <v>18</v>
      </c>
      <c r="E20" s="330"/>
      <c r="F20" s="586"/>
      <c r="G20" s="586"/>
      <c r="H20" s="586"/>
      <c r="I20" s="586"/>
      <c r="J20" s="330"/>
      <c r="K20" s="330"/>
      <c r="L20" s="330"/>
      <c r="M20" s="278"/>
      <c r="N20" s="581"/>
      <c r="O20" s="581"/>
      <c r="P20" s="581"/>
      <c r="Q20" s="582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</row>
    <row r="21" spans="1:30" ht="15" customHeight="1">
      <c r="A21" s="856"/>
      <c r="B21" s="865" t="s">
        <v>611</v>
      </c>
      <c r="C21" s="866" t="s">
        <v>456</v>
      </c>
      <c r="D21" s="867">
        <v>96</v>
      </c>
      <c r="E21" s="330"/>
      <c r="F21" s="586"/>
      <c r="G21" s="586"/>
      <c r="H21" s="586"/>
      <c r="I21" s="586"/>
      <c r="J21" s="330"/>
      <c r="K21" s="330"/>
      <c r="L21" s="330"/>
      <c r="M21" s="278"/>
      <c r="N21" s="581"/>
      <c r="O21" s="581"/>
      <c r="P21" s="581"/>
      <c r="Q21" s="582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</row>
    <row r="22" spans="1:30" ht="15" customHeight="1">
      <c r="A22" s="856"/>
      <c r="B22" s="868" t="s">
        <v>567</v>
      </c>
      <c r="C22" s="866" t="s">
        <v>3</v>
      </c>
      <c r="D22" s="867">
        <v>50</v>
      </c>
      <c r="E22" s="330"/>
      <c r="F22" s="586"/>
      <c r="G22" s="586"/>
      <c r="H22" s="586"/>
      <c r="I22" s="586"/>
      <c r="J22" s="330"/>
      <c r="K22" s="330"/>
      <c r="L22" s="330"/>
      <c r="M22" s="278"/>
      <c r="N22" s="581"/>
      <c r="O22" s="581"/>
      <c r="P22" s="581"/>
      <c r="Q22" s="582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</row>
    <row r="23" spans="1:30" ht="15.75" customHeight="1">
      <c r="A23" s="856"/>
      <c r="B23" s="865" t="s">
        <v>612</v>
      </c>
      <c r="C23" s="866" t="s">
        <v>138</v>
      </c>
      <c r="D23" s="869">
        <v>1</v>
      </c>
      <c r="E23" s="330"/>
      <c r="F23" s="586"/>
      <c r="G23" s="586"/>
      <c r="H23" s="586"/>
      <c r="I23" s="586"/>
      <c r="J23" s="330"/>
      <c r="K23" s="330"/>
      <c r="L23" s="330"/>
      <c r="M23" s="278"/>
      <c r="N23" s="581"/>
      <c r="O23" s="581"/>
      <c r="P23" s="581"/>
      <c r="Q23" s="582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</row>
    <row r="24" spans="1:30" ht="15" customHeight="1">
      <c r="A24" s="856"/>
      <c r="B24" s="870" t="s">
        <v>613</v>
      </c>
      <c r="C24" s="871" t="s">
        <v>8</v>
      </c>
      <c r="D24" s="720">
        <v>20</v>
      </c>
      <c r="E24" s="330"/>
      <c r="F24" s="586"/>
      <c r="G24" s="586"/>
      <c r="H24" s="586"/>
      <c r="I24" s="586"/>
      <c r="J24" s="330"/>
      <c r="K24" s="330"/>
      <c r="L24" s="330"/>
      <c r="M24" s="278"/>
      <c r="N24" s="581"/>
      <c r="O24" s="581"/>
      <c r="P24" s="581"/>
      <c r="Q24" s="582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</row>
    <row r="25" spans="1:30" ht="15" customHeight="1">
      <c r="A25" s="856"/>
      <c r="B25" s="870" t="s">
        <v>614</v>
      </c>
      <c r="C25" s="871" t="s">
        <v>8</v>
      </c>
      <c r="D25" s="720">
        <v>10</v>
      </c>
      <c r="E25" s="330"/>
      <c r="F25" s="586"/>
      <c r="G25" s="586"/>
      <c r="H25" s="586"/>
      <c r="I25" s="586"/>
      <c r="J25" s="330"/>
      <c r="K25" s="330"/>
      <c r="L25" s="330"/>
      <c r="M25" s="278"/>
      <c r="N25" s="581"/>
      <c r="O25" s="581"/>
      <c r="P25" s="581"/>
      <c r="Q25" s="582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</row>
    <row r="26" spans="1:30" ht="15" customHeight="1">
      <c r="A26" s="856"/>
      <c r="B26" s="870" t="s">
        <v>615</v>
      </c>
      <c r="C26" s="871" t="s">
        <v>8</v>
      </c>
      <c r="D26" s="720">
        <v>80</v>
      </c>
      <c r="E26" s="330"/>
      <c r="F26" s="586"/>
      <c r="G26" s="586"/>
      <c r="H26" s="586"/>
      <c r="I26" s="586"/>
      <c r="J26" s="330"/>
      <c r="K26" s="330"/>
      <c r="L26" s="330"/>
      <c r="M26" s="278"/>
      <c r="N26" s="581"/>
      <c r="O26" s="581"/>
      <c r="P26" s="581"/>
      <c r="Q26" s="582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</row>
    <row r="27" spans="1:30" ht="15" customHeight="1">
      <c r="A27" s="856"/>
      <c r="B27" s="870" t="s">
        <v>616</v>
      </c>
      <c r="C27" s="871" t="s">
        <v>8</v>
      </c>
      <c r="D27" s="720">
        <v>80</v>
      </c>
      <c r="E27" s="330"/>
      <c r="F27" s="586"/>
      <c r="G27" s="586"/>
      <c r="H27" s="586"/>
      <c r="I27" s="586"/>
      <c r="J27" s="330"/>
      <c r="K27" s="330"/>
      <c r="L27" s="330"/>
      <c r="M27" s="278"/>
      <c r="N27" s="581"/>
      <c r="O27" s="581"/>
      <c r="P27" s="581"/>
      <c r="Q27" s="582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</row>
    <row r="28" spans="1:30" ht="15" customHeight="1">
      <c r="A28" s="856"/>
      <c r="B28" s="870" t="s">
        <v>617</v>
      </c>
      <c r="C28" s="871" t="s">
        <v>8</v>
      </c>
      <c r="D28" s="720">
        <v>80</v>
      </c>
      <c r="E28" s="330"/>
      <c r="F28" s="586"/>
      <c r="G28" s="586"/>
      <c r="H28" s="586"/>
      <c r="I28" s="586"/>
      <c r="J28" s="330"/>
      <c r="K28" s="330"/>
      <c r="L28" s="330"/>
      <c r="M28" s="278"/>
      <c r="N28" s="581"/>
      <c r="O28" s="581"/>
      <c r="P28" s="581"/>
      <c r="Q28" s="582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</row>
    <row r="29" spans="1:30" ht="15" customHeight="1">
      <c r="A29" s="856"/>
      <c r="B29" s="872" t="s">
        <v>556</v>
      </c>
      <c r="C29" s="866" t="s">
        <v>10</v>
      </c>
      <c r="D29" s="867">
        <v>24</v>
      </c>
      <c r="E29" s="330"/>
      <c r="F29" s="586"/>
      <c r="G29" s="586"/>
      <c r="H29" s="586"/>
      <c r="I29" s="586"/>
      <c r="J29" s="330"/>
      <c r="K29" s="330"/>
      <c r="L29" s="330"/>
      <c r="M29" s="278"/>
      <c r="N29" s="581"/>
      <c r="O29" s="581"/>
      <c r="P29" s="581"/>
      <c r="Q29" s="582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</row>
    <row r="30" spans="1:30" ht="15" customHeight="1">
      <c r="A30" s="856"/>
      <c r="B30" s="872" t="s">
        <v>558</v>
      </c>
      <c r="C30" s="866" t="s">
        <v>3</v>
      </c>
      <c r="D30" s="867">
        <v>50</v>
      </c>
      <c r="E30" s="330"/>
      <c r="F30" s="586"/>
      <c r="G30" s="586"/>
      <c r="H30" s="586"/>
      <c r="I30" s="586"/>
      <c r="J30" s="330"/>
      <c r="K30" s="330"/>
      <c r="L30" s="330"/>
      <c r="M30" s="278"/>
      <c r="N30" s="581"/>
      <c r="O30" s="581"/>
      <c r="P30" s="581"/>
      <c r="Q30" s="582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</row>
    <row r="31" spans="1:30" ht="15" customHeight="1">
      <c r="A31" s="856"/>
      <c r="B31" s="872" t="s">
        <v>618</v>
      </c>
      <c r="C31" s="866" t="s">
        <v>138</v>
      </c>
      <c r="D31" s="867">
        <v>1</v>
      </c>
      <c r="E31" s="330"/>
      <c r="F31" s="586"/>
      <c r="G31" s="586"/>
      <c r="H31" s="586"/>
      <c r="I31" s="586"/>
      <c r="J31" s="330"/>
      <c r="K31" s="330"/>
      <c r="L31" s="330"/>
      <c r="M31" s="278"/>
      <c r="N31" s="581"/>
      <c r="O31" s="581"/>
      <c r="P31" s="581"/>
      <c r="Q31" s="582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</row>
    <row r="32" spans="1:30" ht="15" customHeight="1">
      <c r="A32" s="856"/>
      <c r="B32" s="873" t="s">
        <v>627</v>
      </c>
      <c r="C32" s="281"/>
      <c r="D32" s="867"/>
      <c r="E32" s="330"/>
      <c r="F32" s="586"/>
      <c r="G32" s="586"/>
      <c r="H32" s="586"/>
      <c r="I32" s="586"/>
      <c r="J32" s="330"/>
      <c r="K32" s="330"/>
      <c r="L32" s="330"/>
      <c r="M32" s="278"/>
      <c r="N32" s="581"/>
      <c r="O32" s="581"/>
      <c r="P32" s="581"/>
      <c r="Q32" s="582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</row>
    <row r="33" spans="1:30" ht="15" customHeight="1">
      <c r="A33" s="856"/>
      <c r="B33" s="874" t="s">
        <v>623</v>
      </c>
      <c r="C33" s="855" t="s">
        <v>4</v>
      </c>
      <c r="D33" s="277">
        <f>72+84.8</f>
        <v>156.8</v>
      </c>
      <c r="E33" s="330"/>
      <c r="F33" s="586"/>
      <c r="G33" s="586"/>
      <c r="H33" s="586"/>
      <c r="I33" s="586"/>
      <c r="J33" s="330"/>
      <c r="K33" s="330"/>
      <c r="L33" s="330"/>
      <c r="M33" s="278"/>
      <c r="N33" s="581"/>
      <c r="O33" s="581"/>
      <c r="P33" s="581"/>
      <c r="Q33" s="582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</row>
    <row r="34" spans="1:30" ht="15" customHeight="1">
      <c r="A34" s="856"/>
      <c r="B34" s="874" t="s">
        <v>624</v>
      </c>
      <c r="C34" s="855" t="s">
        <v>4</v>
      </c>
      <c r="D34" s="277">
        <f>+D33</f>
        <v>156.8</v>
      </c>
      <c r="E34" s="330"/>
      <c r="F34" s="586"/>
      <c r="G34" s="586"/>
      <c r="H34" s="586"/>
      <c r="I34" s="586"/>
      <c r="J34" s="330"/>
      <c r="K34" s="330"/>
      <c r="L34" s="330"/>
      <c r="M34" s="278"/>
      <c r="N34" s="581"/>
      <c r="O34" s="581"/>
      <c r="P34" s="581"/>
      <c r="Q34" s="582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</row>
    <row r="35" spans="1:30" ht="15.75" customHeight="1">
      <c r="A35" s="856"/>
      <c r="B35" s="874" t="s">
        <v>458</v>
      </c>
      <c r="C35" s="855" t="s">
        <v>4</v>
      </c>
      <c r="D35" s="277">
        <f>+D34</f>
        <v>156.8</v>
      </c>
      <c r="E35" s="330"/>
      <c r="F35" s="586"/>
      <c r="G35" s="586"/>
      <c r="H35" s="586"/>
      <c r="I35" s="586"/>
      <c r="J35" s="330"/>
      <c r="K35" s="330"/>
      <c r="L35" s="330"/>
      <c r="M35" s="278"/>
      <c r="N35" s="581"/>
      <c r="O35" s="581"/>
      <c r="P35" s="581"/>
      <c r="Q35" s="582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</row>
    <row r="36" spans="1:30" ht="15" customHeight="1">
      <c r="A36" s="856"/>
      <c r="B36" s="874" t="s">
        <v>628</v>
      </c>
      <c r="C36" s="855" t="s">
        <v>4</v>
      </c>
      <c r="D36" s="277">
        <v>156.1</v>
      </c>
      <c r="E36" s="330"/>
      <c r="F36" s="586"/>
      <c r="G36" s="586"/>
      <c r="H36" s="586"/>
      <c r="I36" s="586"/>
      <c r="J36" s="330"/>
      <c r="K36" s="330"/>
      <c r="L36" s="330"/>
      <c r="M36" s="278"/>
      <c r="N36" s="581"/>
      <c r="O36" s="581"/>
      <c r="P36" s="581"/>
      <c r="Q36" s="582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</row>
    <row r="37" spans="1:30" ht="15" customHeight="1">
      <c r="A37" s="856"/>
      <c r="B37" s="874" t="s">
        <v>625</v>
      </c>
      <c r="C37" s="855" t="s">
        <v>4</v>
      </c>
      <c r="D37" s="277">
        <v>520.32</v>
      </c>
      <c r="E37" s="330"/>
      <c r="F37" s="586"/>
      <c r="G37" s="586"/>
      <c r="H37" s="586"/>
      <c r="I37" s="586"/>
      <c r="J37" s="330"/>
      <c r="K37" s="330"/>
      <c r="L37" s="330"/>
      <c r="M37" s="278"/>
      <c r="N37" s="581"/>
      <c r="O37" s="581"/>
      <c r="P37" s="581"/>
      <c r="Q37" s="582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</row>
    <row r="38" spans="1:30" ht="15" customHeight="1">
      <c r="A38" s="856"/>
      <c r="B38" s="875" t="s">
        <v>626</v>
      </c>
      <c r="C38" s="855" t="s">
        <v>4</v>
      </c>
      <c r="D38" s="277">
        <v>520.32</v>
      </c>
      <c r="E38" s="330"/>
      <c r="F38" s="586"/>
      <c r="G38" s="586"/>
      <c r="H38" s="586"/>
      <c r="I38" s="586"/>
      <c r="J38" s="330"/>
      <c r="K38" s="330"/>
      <c r="L38" s="330"/>
      <c r="M38" s="278"/>
      <c r="N38" s="581"/>
      <c r="O38" s="581"/>
      <c r="P38" s="581"/>
      <c r="Q38" s="582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</row>
    <row r="39" spans="1:12" s="9" customFormat="1" ht="13.5" customHeight="1">
      <c r="A39" s="54"/>
      <c r="B39" s="721"/>
      <c r="C39" s="718"/>
      <c r="D39" s="719"/>
      <c r="F39" s="43"/>
      <c r="G39" s="43"/>
      <c r="H39" s="43"/>
      <c r="I39" s="43"/>
      <c r="L39" s="43"/>
    </row>
    <row r="40" spans="1:8" s="9" customFormat="1" ht="12.75">
      <c r="A40" s="54"/>
      <c r="B40" s="57"/>
      <c r="C40" s="722"/>
      <c r="D40" s="586"/>
      <c r="F40" s="57"/>
      <c r="G40" s="59"/>
      <c r="H40" s="58"/>
    </row>
    <row r="41" spans="1:8" s="9" customFormat="1" ht="12.75">
      <c r="A41" s="345"/>
      <c r="B41" s="57"/>
      <c r="C41" s="323"/>
      <c r="D41" s="323"/>
      <c r="F41" s="57"/>
      <c r="G41" s="58"/>
      <c r="H41" s="58"/>
    </row>
    <row r="42" spans="1:9" s="9" customFormat="1" ht="12.75">
      <c r="A42" s="345"/>
      <c r="B42" s="60"/>
      <c r="C42" s="723"/>
      <c r="D42" s="323"/>
      <c r="F42" s="60"/>
      <c r="G42" s="58"/>
      <c r="H42" s="58"/>
      <c r="I42" s="43"/>
    </row>
    <row r="43" spans="1:8" s="9" customFormat="1" ht="12.75">
      <c r="A43" s="345"/>
      <c r="B43" s="60"/>
      <c r="C43" s="723"/>
      <c r="D43" s="323"/>
      <c r="F43" s="60"/>
      <c r="G43" s="58"/>
      <c r="H43" s="58"/>
    </row>
    <row r="44" spans="2:11" ht="12.75">
      <c r="B44" s="61"/>
      <c r="C44" s="723"/>
      <c r="D44" s="323"/>
      <c r="F44" s="60"/>
      <c r="G44" s="58"/>
      <c r="H44" s="58"/>
      <c r="K44" s="43"/>
    </row>
    <row r="45" spans="2:8" ht="12.75">
      <c r="B45" s="61"/>
      <c r="C45" s="723"/>
      <c r="D45" s="323"/>
      <c r="F45" s="727"/>
      <c r="G45" s="58"/>
      <c r="H45" s="58"/>
    </row>
    <row r="46" spans="2:8" ht="12.75">
      <c r="B46" s="62"/>
      <c r="C46" s="723"/>
      <c r="D46" s="323"/>
      <c r="F46" s="58"/>
      <c r="G46" s="58"/>
      <c r="H46" s="58"/>
    </row>
    <row r="47" spans="2:4" ht="12.75">
      <c r="B47" s="723"/>
      <c r="C47" s="723"/>
      <c r="D47" s="323"/>
    </row>
    <row r="48" spans="2:4" ht="12.75">
      <c r="B48" s="52"/>
      <c r="C48" s="52"/>
      <c r="D48" s="54"/>
    </row>
    <row r="49" spans="2:3" ht="12.75">
      <c r="B49" s="52"/>
      <c r="C49" s="52"/>
    </row>
    <row r="50" spans="2:3" ht="12.75">
      <c r="B50" s="9"/>
      <c r="C50" s="9"/>
    </row>
    <row r="51" spans="2:3" ht="12.75">
      <c r="B51" s="9"/>
      <c r="C51" s="9"/>
    </row>
    <row r="52" spans="2:3" ht="12.75">
      <c r="B52" s="9"/>
      <c r="C52" s="9"/>
    </row>
  </sheetData>
  <sheetProtection/>
  <mergeCells count="14">
    <mergeCell ref="K8:K9"/>
    <mergeCell ref="E8:E9"/>
    <mergeCell ref="F8:F9"/>
    <mergeCell ref="G8:G9"/>
    <mergeCell ref="H8:H9"/>
    <mergeCell ref="I8:I9"/>
    <mergeCell ref="J8:J9"/>
    <mergeCell ref="L7:L9"/>
    <mergeCell ref="C6:D6"/>
    <mergeCell ref="A7:B9"/>
    <mergeCell ref="C7:C9"/>
    <mergeCell ref="D7:D9"/>
    <mergeCell ref="E7:I7"/>
    <mergeCell ref="J7:K7"/>
  </mergeCells>
  <conditionalFormatting sqref="C9 A10:D10">
    <cfRule type="expression" priority="1" dxfId="0" stopIfTrue="1">
      <formula>#REF!=""</formula>
    </cfRule>
  </conditionalFormatting>
  <printOptions/>
  <pageMargins left="0.6692913385826772" right="0.15748031496062992" top="0.5511811023622047" bottom="0.15748031496062992" header="0.1968503937007874" footer="0.1968503937007874"/>
  <pageSetup horizontalDpi="600" verticalDpi="600" orientation="portrait" paperSize="9" scale="94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User</cp:lastModifiedBy>
  <cp:lastPrinted>2013-08-08T06:59:42Z</cp:lastPrinted>
  <dcterms:created xsi:type="dcterms:W3CDTF">2010-03-23T14:19:31Z</dcterms:created>
  <dcterms:modified xsi:type="dcterms:W3CDTF">2013-08-08T07:03:34Z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